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bookViews>
  <sheets>
    <sheet name="1-Introduction" sheetId="10" r:id="rId1"/>
    <sheet name="2-Données générales" sheetId="9" r:id="rId2"/>
    <sheet name="3-Commune" sheetId="3" r:id="rId3"/>
    <sheet name="4-Secteur privé" sheetId="4" r:id="rId4"/>
    <sheet name="5-Transport" sheetId="5" r:id="rId5"/>
    <sheet name="6-Traitement des eaux usées" sheetId="11" r:id="rId6"/>
    <sheet name="7-IRE" sheetId="8" r:id="rId7"/>
  </sheets>
  <externalReferences>
    <externalReference r:id="rId8"/>
    <externalReference r:id="rId9"/>
    <externalReference r:id="rId10"/>
  </externalReferences>
  <definedNames>
    <definedName name="BaselineYear">'2-Données générales'!$S$10:$S$16</definedName>
    <definedName name="bio_fac_E101">'2-Données générales'!$D$93</definedName>
    <definedName name="Coal_conv_C51">'2-Données générales'!$C$68</definedName>
    <definedName name="Coal_convC51">'2-Données générales'!$C$68</definedName>
    <definedName name="coal_fac_E98">'2-Données générales'!$D$88</definedName>
    <definedName name="Diesel_conv_C48">'2-Données générales'!$C$65</definedName>
    <definedName name="diesel_fac_E95">'2-Données générales'!$D$85</definedName>
    <definedName name="Diesel_Munfleet_D14">'3-Commune'!$D$15</definedName>
    <definedName name="Diesel_Wastetransp_D15">'3-Commune'!$D$16</definedName>
    <definedName name="dj">'[1]General Data'!$C$55</definedName>
    <definedName name="elec_fac_E90">'2-Données générales'!$D$80</definedName>
    <definedName name="gasol_fac_E96">'2-Données générales'!$D$86</definedName>
    <definedName name="Gasoline_conv_C49">'2-Données générales'!$C$66</definedName>
    <definedName name="Gasoline_convC49">'2-Données générales'!$C$66</definedName>
    <definedName name="Gasoline_Munfleet_D18">'3-Commune'!$D$18</definedName>
    <definedName name="Gasoline_WasteTransp_D19">'3-Commune'!$D$19</definedName>
    <definedName name="heat_oil_fac_E94">'2-Données générales'!$D$84</definedName>
    <definedName name="Ind_Diesel_H13">'2-Données générales'!$E$34</definedName>
    <definedName name="Ind_Elec_H11">'2-Données générales'!$E$31</definedName>
    <definedName name="Ind_gasol_H14">'2-Données générales'!$E$35</definedName>
    <definedName name="Ind_LPG_H12">'2-Données générales'!$E$33</definedName>
    <definedName name="Ind_solar_H15">'2-Données générales'!$E$39</definedName>
    <definedName name="lign_fac_E97">'2-Données générales'!$D$87</definedName>
    <definedName name="LPG_conv_C50">'2-Données générales'!$C$67</definedName>
    <definedName name="LPG_convC50">'2-Données générales'!$C$67</definedName>
    <definedName name="lpg_fac_E93">'2-Données générales'!$D$83</definedName>
    <definedName name="mun_population_E22">'2-Données générales'!$C$56</definedName>
    <definedName name="nagas_fac_E92">'2-Données générales'!$D$82</definedName>
    <definedName name="nagas_facE92">'2-Données générales'!$D$82</definedName>
    <definedName name="nb_employees_Ind_Gov_G33">'2-Données générales'!#REF!</definedName>
    <definedName name="nb_employees_Ind_Mun_G32">'2-Données générales'!#REF!</definedName>
    <definedName name="nb_employees_Ind_Palest_G34">'2-Données générales'!#REF!</definedName>
    <definedName name="nb_employees_Tert_Gov_C33">'2-Données générales'!#REF!</definedName>
    <definedName name="nb_employees_Tert_Mun_C32">'2-Données générales'!#REF!</definedName>
    <definedName name="nb_employees_Tert_Palest_C34">'2-Données générales'!#REF!</definedName>
    <definedName name="other_biom_fac_E102">'2-Données générales'!$D$94</definedName>
    <definedName name="other_ff_fac_E99">'2-Données générales'!$D$89</definedName>
    <definedName name="percentage_Mun_C39">'2-Données générales'!#REF!</definedName>
    <definedName name="percentage_Palest_C40">'2-Données générales'!#REF!</definedName>
    <definedName name="pl_oi_fac_E100">'2-Données générales'!$D$92</definedName>
    <definedName name="PRGCH4">#REF!</definedName>
    <definedName name="PRGN2O">#REF!</definedName>
    <definedName name="Resid_Diesel_D13">'2-Données générales'!$C$34</definedName>
    <definedName name="Resid_Elec_D11">'2-Données générales'!$C$31</definedName>
    <definedName name="Resid_Gasol_D14">'2-Données générales'!$C$35</definedName>
    <definedName name="Resid_LPG_D12">'2-Données générales'!$C$33</definedName>
    <definedName name="Resid_Solar_D15">'2-Données générales'!$C$39</definedName>
    <definedName name="solar_fac_E103">'2-Données générales'!$D$95</definedName>
    <definedName name="Tert_DieselF13">'2-Données générales'!$D$34</definedName>
    <definedName name="Tert_Elec_F11">'2-Données générales'!$D$31</definedName>
    <definedName name="Tert_Gasol_F14">'2-Données générales'!#REF!</definedName>
    <definedName name="Tert_LPG_F12">'2-Données générales'!#REF!</definedName>
    <definedName name="Tert_Solar_F15">'2-Données générales'!$D$39</definedName>
    <definedName name="Total_Diesel_M13">'2-Données générales'!$H$34</definedName>
    <definedName name="Total_Gasol_M14">'2-Données générales'!$H$35</definedName>
    <definedName name="Total_LPG_M12">'2-Données générales'!$H$33</definedName>
    <definedName name="Transp_Diesel_L13">'2-Données générales'!$F$34</definedName>
    <definedName name="Transp_Gasol_L14">'2-Données générales'!$F$35</definedName>
    <definedName name="Transport_GPL" localSheetId="1">'2-Données générales'!$F$33</definedName>
    <definedName name="Tun_pop">'2-Données générales'!$C$57</definedName>
    <definedName name="Tunisia_population_E24">'2-Données générales'!$C$57</definedName>
    <definedName name="Wood_conv_C52">'2-Données générales'!$C$69</definedName>
  </definedNames>
  <calcPr calcId="124519"/>
</workbook>
</file>

<file path=xl/calcChain.xml><?xml version="1.0" encoding="utf-8"?>
<calcChain xmlns="http://schemas.openxmlformats.org/spreadsheetml/2006/main">
  <c r="N109" i="4"/>
  <c r="B109"/>
  <c r="B95"/>
  <c r="M29"/>
  <c r="B29"/>
  <c r="B17"/>
  <c r="G30" i="9" l="1"/>
  <c r="AX32"/>
  <c r="AX33"/>
  <c r="AX34"/>
  <c r="AX35"/>
  <c r="AX36"/>
  <c r="AX37"/>
  <c r="AX38"/>
  <c r="AX39"/>
  <c r="AX40"/>
  <c r="AW31"/>
  <c r="AX31"/>
  <c r="AW32"/>
  <c r="AW33"/>
  <c r="AW34"/>
  <c r="AW35"/>
  <c r="AW36"/>
  <c r="AW37"/>
  <c r="AW38"/>
  <c r="AW39"/>
  <c r="AW40"/>
  <c r="AV32"/>
  <c r="AV33"/>
  <c r="AV34"/>
  <c r="AV35"/>
  <c r="AV36"/>
  <c r="AV37"/>
  <c r="AV38"/>
  <c r="AV39"/>
  <c r="AV40"/>
  <c r="AV31"/>
  <c r="AU32"/>
  <c r="AU33"/>
  <c r="AU34"/>
  <c r="AU35"/>
  <c r="AU36"/>
  <c r="AU37"/>
  <c r="AU38"/>
  <c r="AU39"/>
  <c r="AU40"/>
  <c r="AU31"/>
  <c r="AT32"/>
  <c r="AT33"/>
  <c r="AT34"/>
  <c r="AT35"/>
  <c r="AT36"/>
  <c r="AT37"/>
  <c r="AT38"/>
  <c r="AT39"/>
  <c r="AT40"/>
  <c r="AT31"/>
  <c r="AS32"/>
  <c r="AS33"/>
  <c r="AS34"/>
  <c r="AS35"/>
  <c r="AS36"/>
  <c r="AS37"/>
  <c r="AS38"/>
  <c r="AS39"/>
  <c r="AS40"/>
  <c r="AS31"/>
  <c r="AG100" i="4" l="1"/>
  <c r="D29" i="5" l="1"/>
  <c r="K39" i="4"/>
  <c r="K40"/>
  <c r="K41"/>
  <c r="K42"/>
  <c r="K43"/>
  <c r="D20" i="5" l="1"/>
  <c r="M33" i="3" l="1"/>
  <c r="L33"/>
  <c r="K33"/>
  <c r="D34" i="5" l="1"/>
  <c r="G21"/>
  <c r="G22"/>
  <c r="G23"/>
  <c r="G24"/>
  <c r="G25"/>
  <c r="G26"/>
  <c r="G27"/>
  <c r="G28"/>
  <c r="G20"/>
  <c r="O199" i="4" l="1"/>
  <c r="O200"/>
  <c r="O201"/>
  <c r="O202"/>
  <c r="O203"/>
  <c r="G17"/>
  <c r="H17"/>
  <c r="J15"/>
  <c r="J16"/>
  <c r="E202"/>
  <c r="N13" i="8" s="1"/>
  <c r="N35" s="1"/>
  <c r="N19"/>
  <c r="J19"/>
  <c r="J13"/>
  <c r="J35" s="1"/>
  <c r="G13"/>
  <c r="N11"/>
  <c r="N33" s="1"/>
  <c r="N10"/>
  <c r="N32" s="1"/>
  <c r="J10"/>
  <c r="J32" s="1"/>
  <c r="N34"/>
  <c r="J34"/>
  <c r="N9"/>
  <c r="N31" s="1"/>
  <c r="K9"/>
  <c r="J9"/>
  <c r="J31" s="1"/>
  <c r="J11"/>
  <c r="J33" s="1"/>
  <c r="P9"/>
  <c r="P31" s="1"/>
  <c r="O9"/>
  <c r="D23" i="5"/>
  <c r="E22"/>
  <c r="E99" i="4"/>
  <c r="E51"/>
  <c r="E52"/>
  <c r="E53"/>
  <c r="E54"/>
  <c r="E50"/>
  <c r="F22"/>
  <c r="F23"/>
  <c r="F24"/>
  <c r="F25"/>
  <c r="F26"/>
  <c r="F27"/>
  <c r="F28"/>
  <c r="F21"/>
  <c r="J14" i="8" l="1"/>
  <c r="J36" s="1"/>
  <c r="J47" s="1"/>
  <c r="J23"/>
  <c r="N14"/>
  <c r="N36" l="1"/>
  <c r="N47" s="1"/>
  <c r="N23"/>
  <c r="D29" i="3" l="1"/>
  <c r="F13"/>
  <c r="S43" i="8"/>
  <c r="S40"/>
  <c r="S39"/>
  <c r="E27" i="5"/>
  <c r="C37" s="1"/>
  <c r="F17" i="8" s="1"/>
  <c r="Q205" i="4"/>
  <c r="Q204"/>
  <c r="Q203"/>
  <c r="P201"/>
  <c r="Q198"/>
  <c r="Q206"/>
  <c r="Q207"/>
  <c r="C205"/>
  <c r="E201"/>
  <c r="Q201" s="1"/>
  <c r="E200"/>
  <c r="D198"/>
  <c r="P198" s="1"/>
  <c r="C198"/>
  <c r="O198" s="1"/>
  <c r="E196"/>
  <c r="E194"/>
  <c r="E193"/>
  <c r="D193"/>
  <c r="C193"/>
  <c r="L29" i="3" l="1"/>
  <c r="D43" i="8" l="1"/>
  <c r="D40"/>
  <c r="D39"/>
  <c r="D95" i="4" l="1"/>
  <c r="E95"/>
  <c r="F95"/>
  <c r="G95"/>
  <c r="H95"/>
  <c r="I95"/>
  <c r="C95"/>
  <c r="J94"/>
  <c r="B123"/>
  <c r="Z109"/>
  <c r="AA109"/>
  <c r="AB109"/>
  <c r="AC109"/>
  <c r="AD109"/>
  <c r="AE109"/>
  <c r="AF109"/>
  <c r="Y109"/>
  <c r="N101" s="1"/>
  <c r="AG108"/>
  <c r="P108" s="1"/>
  <c r="P100"/>
  <c r="Q100"/>
  <c r="E100" s="1"/>
  <c r="R100"/>
  <c r="S100"/>
  <c r="G100" s="1"/>
  <c r="T100"/>
  <c r="U100"/>
  <c r="O100"/>
  <c r="U108" l="1"/>
  <c r="O108"/>
  <c r="T108"/>
  <c r="H108" s="1"/>
  <c r="S108"/>
  <c r="G108" s="1"/>
  <c r="R108"/>
  <c r="F108" s="1"/>
  <c r="N107"/>
  <c r="N104"/>
  <c r="N103"/>
  <c r="N108"/>
  <c r="B108" s="1"/>
  <c r="N100"/>
  <c r="N106"/>
  <c r="N102"/>
  <c r="N99"/>
  <c r="N105"/>
  <c r="Q108"/>
  <c r="I100"/>
  <c r="I108"/>
  <c r="H100"/>
  <c r="F100"/>
  <c r="D100"/>
  <c r="D108"/>
  <c r="C100"/>
  <c r="C108"/>
  <c r="B77"/>
  <c r="AG107"/>
  <c r="AG106"/>
  <c r="AG105"/>
  <c r="AG104"/>
  <c r="AG103"/>
  <c r="AG102"/>
  <c r="AG101"/>
  <c r="AG99"/>
  <c r="G123" l="1"/>
  <c r="E123"/>
  <c r="E108"/>
  <c r="D123" s="1"/>
  <c r="C123"/>
  <c r="R103"/>
  <c r="F103" s="1"/>
  <c r="Q103"/>
  <c r="E103" s="1"/>
  <c r="S103"/>
  <c r="G103" s="1"/>
  <c r="U103"/>
  <c r="I103" s="1"/>
  <c r="P103"/>
  <c r="D103" s="1"/>
  <c r="T103"/>
  <c r="H103" s="1"/>
  <c r="O103"/>
  <c r="C103" s="1"/>
  <c r="H123"/>
  <c r="V108"/>
  <c r="P104"/>
  <c r="D104" s="1"/>
  <c r="T104"/>
  <c r="H104" s="1"/>
  <c r="Q104"/>
  <c r="E104" s="1"/>
  <c r="U104"/>
  <c r="I104" s="1"/>
  <c r="O104"/>
  <c r="C104" s="1"/>
  <c r="R104"/>
  <c r="F104" s="1"/>
  <c r="S104"/>
  <c r="G104" s="1"/>
  <c r="P106"/>
  <c r="D106" s="1"/>
  <c r="T106"/>
  <c r="H106" s="1"/>
  <c r="S106"/>
  <c r="G106" s="1"/>
  <c r="O106"/>
  <c r="C106" s="1"/>
  <c r="Q106"/>
  <c r="E106" s="1"/>
  <c r="U106"/>
  <c r="I106" s="1"/>
  <c r="R106"/>
  <c r="F106" s="1"/>
  <c r="Q99"/>
  <c r="U99"/>
  <c r="R99"/>
  <c r="T99"/>
  <c r="O99"/>
  <c r="P99"/>
  <c r="S99"/>
  <c r="P101"/>
  <c r="D101" s="1"/>
  <c r="T101"/>
  <c r="H101" s="1"/>
  <c r="Q101"/>
  <c r="E101" s="1"/>
  <c r="U101"/>
  <c r="I101" s="1"/>
  <c r="R101"/>
  <c r="F101" s="1"/>
  <c r="S101"/>
  <c r="G101" s="1"/>
  <c r="O101"/>
  <c r="C101" s="1"/>
  <c r="R105"/>
  <c r="F105" s="1"/>
  <c r="O105"/>
  <c r="C105" s="1"/>
  <c r="U105"/>
  <c r="I105" s="1"/>
  <c r="S105"/>
  <c r="G105" s="1"/>
  <c r="P105"/>
  <c r="D105" s="1"/>
  <c r="T105"/>
  <c r="H105" s="1"/>
  <c r="Q105"/>
  <c r="E105" s="1"/>
  <c r="F123"/>
  <c r="S107"/>
  <c r="G107" s="1"/>
  <c r="U107"/>
  <c r="I107" s="1"/>
  <c r="R107"/>
  <c r="F107" s="1"/>
  <c r="P107"/>
  <c r="D107" s="1"/>
  <c r="T107"/>
  <c r="H107" s="1"/>
  <c r="Q107"/>
  <c r="E107" s="1"/>
  <c r="O107"/>
  <c r="C107" s="1"/>
  <c r="P102"/>
  <c r="D102" s="1"/>
  <c r="T102"/>
  <c r="H102" s="1"/>
  <c r="Q102"/>
  <c r="E102" s="1"/>
  <c r="U102"/>
  <c r="I102" s="1"/>
  <c r="S102"/>
  <c r="G102" s="1"/>
  <c r="R102"/>
  <c r="F102" s="1"/>
  <c r="O102"/>
  <c r="C102" s="1"/>
  <c r="AG109"/>
  <c r="J108" l="1"/>
  <c r="I123"/>
  <c r="U109"/>
  <c r="I109" s="1"/>
  <c r="S109"/>
  <c r="G109" s="1"/>
  <c r="G99"/>
  <c r="R109"/>
  <c r="F109" s="1"/>
  <c r="O109"/>
  <c r="Q109"/>
  <c r="E109" s="1"/>
  <c r="T109"/>
  <c r="H109" s="1"/>
  <c r="P109"/>
  <c r="I99"/>
  <c r="H99"/>
  <c r="F99"/>
  <c r="D99"/>
  <c r="C99"/>
  <c r="V100"/>
  <c r="V101"/>
  <c r="V102"/>
  <c r="V103"/>
  <c r="V104"/>
  <c r="V105"/>
  <c r="V106"/>
  <c r="V107"/>
  <c r="V99"/>
  <c r="J86"/>
  <c r="J87"/>
  <c r="J88"/>
  <c r="J89"/>
  <c r="J90"/>
  <c r="J91"/>
  <c r="J92"/>
  <c r="J93"/>
  <c r="J85"/>
  <c r="E22"/>
  <c r="E23"/>
  <c r="E24"/>
  <c r="E25"/>
  <c r="E26"/>
  <c r="E27"/>
  <c r="E28"/>
  <c r="D150" l="1"/>
  <c r="J95"/>
  <c r="G51" l="1"/>
  <c r="G52"/>
  <c r="G53"/>
  <c r="G54"/>
  <c r="G50"/>
  <c r="F51"/>
  <c r="F52"/>
  <c r="F53"/>
  <c r="F54"/>
  <c r="D51"/>
  <c r="D52"/>
  <c r="D53"/>
  <c r="D54"/>
  <c r="F50"/>
  <c r="D50"/>
  <c r="Q51"/>
  <c r="Q52"/>
  <c r="Q53"/>
  <c r="Q54"/>
  <c r="Q50"/>
  <c r="I22" l="1"/>
  <c r="I23"/>
  <c r="I24"/>
  <c r="I25"/>
  <c r="I26"/>
  <c r="I27"/>
  <c r="I28"/>
  <c r="I21"/>
  <c r="H22"/>
  <c r="H23"/>
  <c r="H24"/>
  <c r="H25"/>
  <c r="H26"/>
  <c r="H27"/>
  <c r="H28"/>
  <c r="H21"/>
  <c r="G22"/>
  <c r="G23"/>
  <c r="G24"/>
  <c r="G25"/>
  <c r="G26"/>
  <c r="G27"/>
  <c r="G28"/>
  <c r="G21"/>
  <c r="D22"/>
  <c r="D23"/>
  <c r="D24"/>
  <c r="D25"/>
  <c r="D26"/>
  <c r="D27"/>
  <c r="D28"/>
  <c r="C22"/>
  <c r="C23"/>
  <c r="C24"/>
  <c r="C25"/>
  <c r="C26"/>
  <c r="C27"/>
  <c r="C28"/>
  <c r="B27"/>
  <c r="B28"/>
  <c r="D17"/>
  <c r="E17"/>
  <c r="F17"/>
  <c r="I17"/>
  <c r="C17"/>
  <c r="T30"/>
  <c r="T29"/>
  <c r="S29"/>
  <c r="U28"/>
  <c r="U27"/>
  <c r="O29"/>
  <c r="P29"/>
  <c r="Q29"/>
  <c r="N29"/>
  <c r="F29" l="1"/>
  <c r="R29"/>
  <c r="C28" i="3"/>
  <c r="C31"/>
  <c r="C26"/>
  <c r="C9" i="8" s="1"/>
  <c r="F9" i="3" l="1"/>
  <c r="F10"/>
  <c r="F11"/>
  <c r="F12"/>
  <c r="F14"/>
  <c r="F15"/>
  <c r="F16"/>
  <c r="F17"/>
  <c r="F18"/>
  <c r="F19"/>
  <c r="F20"/>
  <c r="F8"/>
  <c r="B21" i="4" l="1"/>
  <c r="C55" i="9" l="1"/>
  <c r="G176" i="4" l="1"/>
  <c r="G164"/>
  <c r="G152"/>
  <c r="G141"/>
  <c r="G149"/>
  <c r="G139"/>
  <c r="G184"/>
  <c r="G173"/>
  <c r="G161"/>
  <c r="G155"/>
  <c r="G182"/>
  <c r="G170"/>
  <c r="G158"/>
  <c r="G146"/>
  <c r="G137"/>
  <c r="G179"/>
  <c r="G167"/>
  <c r="G143"/>
  <c r="D30" i="9"/>
  <c r="E30"/>
  <c r="F30"/>
  <c r="C30"/>
  <c r="BL39"/>
  <c r="BL37"/>
  <c r="BL36"/>
  <c r="BL33"/>
  <c r="BL32"/>
  <c r="BL31"/>
  <c r="F39" l="1"/>
  <c r="F38"/>
  <c r="F37"/>
  <c r="F36"/>
  <c r="E25" i="5"/>
  <c r="D80" i="9" l="1"/>
  <c r="O196" i="4" l="1"/>
  <c r="P196"/>
  <c r="Q196"/>
  <c r="E191"/>
  <c r="B114"/>
  <c r="B50"/>
  <c r="C50"/>
  <c r="C51"/>
  <c r="C52"/>
  <c r="C53"/>
  <c r="C54"/>
  <c r="E114" l="1"/>
  <c r="H114"/>
  <c r="F114"/>
  <c r="D114"/>
  <c r="C114"/>
  <c r="G114"/>
  <c r="F198"/>
  <c r="R196"/>
  <c r="R198"/>
  <c r="D21"/>
  <c r="E21"/>
  <c r="CE38" i="9" l="1"/>
  <c r="CE36"/>
  <c r="CE33"/>
  <c r="CG26"/>
  <c r="AQ33" l="1"/>
  <c r="AP32"/>
  <c r="AM33"/>
  <c r="AQ31"/>
  <c r="AO32"/>
  <c r="AP31"/>
  <c r="AN33"/>
  <c r="AR33"/>
  <c r="F33" s="1"/>
  <c r="AQ32"/>
  <c r="AN31"/>
  <c r="AR31"/>
  <c r="F31" s="1"/>
  <c r="AP33"/>
  <c r="AM32"/>
  <c r="AO33"/>
  <c r="AN32"/>
  <c r="AR32"/>
  <c r="F32" s="1"/>
  <c r="AO31"/>
  <c r="AM31"/>
  <c r="AM40"/>
  <c r="AQ40"/>
  <c r="AN40"/>
  <c r="AR40"/>
  <c r="F40" s="1"/>
  <c r="AP40"/>
  <c r="AO40"/>
  <c r="AL34"/>
  <c r="AL38"/>
  <c r="Z35"/>
  <c r="Z39"/>
  <c r="AR34"/>
  <c r="F34" s="1"/>
  <c r="AL37"/>
  <c r="AF36"/>
  <c r="Z34"/>
  <c r="AR35"/>
  <c r="F35" s="1"/>
  <c r="AL35"/>
  <c r="AL39"/>
  <c r="AF38"/>
  <c r="Z32"/>
  <c r="Z36"/>
  <c r="Z40"/>
  <c r="AL33"/>
  <c r="AL31"/>
  <c r="E31" s="1"/>
  <c r="AF40"/>
  <c r="D40" s="1"/>
  <c r="D170" i="4" s="1"/>
  <c r="Z38" i="9"/>
  <c r="AL32"/>
  <c r="AL36"/>
  <c r="AL40"/>
  <c r="E40" s="1"/>
  <c r="Z33"/>
  <c r="Z37"/>
  <c r="Z31"/>
  <c r="C31" s="1"/>
  <c r="AF35"/>
  <c r="AF37"/>
  <c r="AF33"/>
  <c r="AF32"/>
  <c r="AF39"/>
  <c r="AF31"/>
  <c r="AF34"/>
  <c r="AM35"/>
  <c r="AQ35"/>
  <c r="AQ34"/>
  <c r="AJ32"/>
  <c r="E32" s="1"/>
  <c r="AJ34"/>
  <c r="E34" s="1"/>
  <c r="AJ36"/>
  <c r="AJ38"/>
  <c r="E38" s="1"/>
  <c r="AJ40"/>
  <c r="AI33"/>
  <c r="AI37"/>
  <c r="AH31"/>
  <c r="AH35"/>
  <c r="AH39"/>
  <c r="AG34"/>
  <c r="AG38"/>
  <c r="AC31"/>
  <c r="AC32"/>
  <c r="AC33"/>
  <c r="AC34"/>
  <c r="AC35"/>
  <c r="AC36"/>
  <c r="AC37"/>
  <c r="AC38"/>
  <c r="AC39"/>
  <c r="AC40"/>
  <c r="AA32"/>
  <c r="AA36"/>
  <c r="AA40"/>
  <c r="Y31"/>
  <c r="Y32"/>
  <c r="Y33"/>
  <c r="Y34"/>
  <c r="Y35"/>
  <c r="Y36"/>
  <c r="Y37"/>
  <c r="Y38"/>
  <c r="Y39"/>
  <c r="Y40"/>
  <c r="U35"/>
  <c r="U39"/>
  <c r="W40"/>
  <c r="AG31"/>
  <c r="AP34"/>
  <c r="AK35"/>
  <c r="AI32"/>
  <c r="AI40"/>
  <c r="AG33"/>
  <c r="AB32"/>
  <c r="AB36"/>
  <c r="AB39"/>
  <c r="AA31"/>
  <c r="X32"/>
  <c r="C32" s="1"/>
  <c r="X35"/>
  <c r="C35" s="1"/>
  <c r="X38"/>
  <c r="C38" s="1"/>
  <c r="U34"/>
  <c r="AN35"/>
  <c r="AN34"/>
  <c r="AM34"/>
  <c r="AK32"/>
  <c r="AK34"/>
  <c r="AK36"/>
  <c r="AK38"/>
  <c r="AK40"/>
  <c r="AI34"/>
  <c r="AI38"/>
  <c r="AH32"/>
  <c r="AH36"/>
  <c r="AH40"/>
  <c r="AG35"/>
  <c r="AG39"/>
  <c r="AD31"/>
  <c r="D31" s="1"/>
  <c r="AD32"/>
  <c r="D32" s="1"/>
  <c r="AD33"/>
  <c r="AD34"/>
  <c r="AD35"/>
  <c r="D35" s="1"/>
  <c r="AD36"/>
  <c r="D36" s="1"/>
  <c r="AD37"/>
  <c r="D37" s="1"/>
  <c r="AD38"/>
  <c r="AD39"/>
  <c r="D39" s="1"/>
  <c r="AD40"/>
  <c r="AA33"/>
  <c r="AA37"/>
  <c r="V31"/>
  <c r="V32"/>
  <c r="V33"/>
  <c r="V34"/>
  <c r="V35"/>
  <c r="V36"/>
  <c r="V37"/>
  <c r="V38"/>
  <c r="V39"/>
  <c r="V40"/>
  <c r="U32"/>
  <c r="U36"/>
  <c r="U40"/>
  <c r="U33"/>
  <c r="AP35"/>
  <c r="AK33"/>
  <c r="AK39"/>
  <c r="AH34"/>
  <c r="AG37"/>
  <c r="AB33"/>
  <c r="AB35"/>
  <c r="AB38"/>
  <c r="AA35"/>
  <c r="X31"/>
  <c r="X34"/>
  <c r="X37"/>
  <c r="C37" s="1"/>
  <c r="X40"/>
  <c r="C40" s="1"/>
  <c r="D167" i="4" s="1"/>
  <c r="AO35" i="9"/>
  <c r="AO34"/>
  <c r="AJ31"/>
  <c r="AJ33"/>
  <c r="AJ35"/>
  <c r="E35" s="1"/>
  <c r="AJ37"/>
  <c r="E37" s="1"/>
  <c r="AJ39"/>
  <c r="E39" s="1"/>
  <c r="AI31"/>
  <c r="AI35"/>
  <c r="AI39"/>
  <c r="AH33"/>
  <c r="AH37"/>
  <c r="AG32"/>
  <c r="AG36"/>
  <c r="AG40"/>
  <c r="AE31"/>
  <c r="AE32"/>
  <c r="AE33"/>
  <c r="AE34"/>
  <c r="AE35"/>
  <c r="AE36"/>
  <c r="AE37"/>
  <c r="AE38"/>
  <c r="AE39"/>
  <c r="AE40"/>
  <c r="AA34"/>
  <c r="AA38"/>
  <c r="W31"/>
  <c r="W32"/>
  <c r="W33"/>
  <c r="W34"/>
  <c r="W35"/>
  <c r="W36"/>
  <c r="W37"/>
  <c r="W38"/>
  <c r="W39"/>
  <c r="U37"/>
  <c r="AK31"/>
  <c r="AK37"/>
  <c r="AI36"/>
  <c r="AH38"/>
  <c r="AB31"/>
  <c r="AB34"/>
  <c r="AB37"/>
  <c r="AB40"/>
  <c r="AA39"/>
  <c r="X33"/>
  <c r="C33" s="1"/>
  <c r="X36"/>
  <c r="C36" s="1"/>
  <c r="X39"/>
  <c r="U38"/>
  <c r="U31"/>
  <c r="CE35"/>
  <c r="CE41"/>
  <c r="E36" l="1"/>
  <c r="C34"/>
  <c r="C39"/>
  <c r="D38"/>
  <c r="D34"/>
  <c r="E33"/>
  <c r="D33"/>
  <c r="CE34"/>
  <c r="CE37" l="1"/>
  <c r="C57" l="1"/>
  <c r="C56" l="1"/>
  <c r="B22" i="4"/>
  <c r="D21" i="5" l="1"/>
  <c r="L20"/>
  <c r="I18" i="3"/>
  <c r="I14"/>
  <c r="I13"/>
  <c r="I11"/>
  <c r="I17"/>
  <c r="I19"/>
  <c r="I20"/>
  <c r="I16"/>
  <c r="I12"/>
  <c r="I15"/>
  <c r="D27" i="5"/>
  <c r="D137" i="4"/>
  <c r="D179"/>
  <c r="D143"/>
  <c r="M182"/>
  <c r="M164"/>
  <c r="M173"/>
  <c r="M161"/>
  <c r="M170"/>
  <c r="M184"/>
  <c r="M167"/>
  <c r="M155"/>
  <c r="M152"/>
  <c r="M158"/>
  <c r="M149"/>
  <c r="J9"/>
  <c r="F34" i="5" l="1"/>
  <c r="M34" s="1"/>
  <c r="C17" i="8"/>
  <c r="K34" i="5"/>
  <c r="F207" i="4"/>
  <c r="D205"/>
  <c r="F205" s="1"/>
  <c r="F204"/>
  <c r="F203"/>
  <c r="F202"/>
  <c r="F201"/>
  <c r="F200"/>
  <c r="F199"/>
  <c r="F197"/>
  <c r="F196"/>
  <c r="F195"/>
  <c r="F193"/>
  <c r="F192"/>
  <c r="E208" l="1"/>
  <c r="C11" i="11"/>
  <c r="C19" l="1"/>
  <c r="C17"/>
  <c r="C18" s="1"/>
  <c r="D9" i="8"/>
  <c r="D31" s="1"/>
  <c r="E9"/>
  <c r="E31" s="1"/>
  <c r="H9"/>
  <c r="H31" s="1"/>
  <c r="L9"/>
  <c r="L31" s="1"/>
  <c r="M9"/>
  <c r="M31" s="1"/>
  <c r="O31"/>
  <c r="Q9"/>
  <c r="Q31" s="1"/>
  <c r="R9"/>
  <c r="R31" s="1"/>
  <c r="S9"/>
  <c r="S31" s="1"/>
  <c r="D10"/>
  <c r="D32" s="1"/>
  <c r="E10"/>
  <c r="E32" s="1"/>
  <c r="G10"/>
  <c r="G32" s="1"/>
  <c r="H10"/>
  <c r="H32" s="1"/>
  <c r="I10"/>
  <c r="I32" s="1"/>
  <c r="K10"/>
  <c r="K32" s="1"/>
  <c r="L10"/>
  <c r="L32" s="1"/>
  <c r="M10"/>
  <c r="M32" s="1"/>
  <c r="O10"/>
  <c r="O32" s="1"/>
  <c r="P10"/>
  <c r="P32" s="1"/>
  <c r="R10"/>
  <c r="R32" s="1"/>
  <c r="S10"/>
  <c r="S32" s="1"/>
  <c r="D11"/>
  <c r="D33" s="1"/>
  <c r="E11"/>
  <c r="E33" s="1"/>
  <c r="G11"/>
  <c r="G33" s="1"/>
  <c r="H11"/>
  <c r="H33" s="1"/>
  <c r="I11"/>
  <c r="I33" s="1"/>
  <c r="K11"/>
  <c r="K33" s="1"/>
  <c r="L11"/>
  <c r="L33" s="1"/>
  <c r="M11"/>
  <c r="M33" s="1"/>
  <c r="O11"/>
  <c r="O33" s="1"/>
  <c r="P11"/>
  <c r="P33" s="1"/>
  <c r="Q11"/>
  <c r="Q33" s="1"/>
  <c r="S11"/>
  <c r="S33" s="1"/>
  <c r="C13"/>
  <c r="D13"/>
  <c r="D35" s="1"/>
  <c r="H13"/>
  <c r="H35" s="1"/>
  <c r="I13"/>
  <c r="I35" s="1"/>
  <c r="K13"/>
  <c r="K35" s="1"/>
  <c r="L13"/>
  <c r="O13"/>
  <c r="O35" s="1"/>
  <c r="P13"/>
  <c r="P35" s="1"/>
  <c r="Q13"/>
  <c r="Q35" s="1"/>
  <c r="R13"/>
  <c r="R35" s="1"/>
  <c r="S13"/>
  <c r="S35" s="1"/>
  <c r="T15"/>
  <c r="F16"/>
  <c r="F38" s="1"/>
  <c r="P16"/>
  <c r="P38" s="1"/>
  <c r="T18"/>
  <c r="C19"/>
  <c r="C41" s="1"/>
  <c r="D19"/>
  <c r="D41" s="1"/>
  <c r="E19"/>
  <c r="G19"/>
  <c r="G41" s="1"/>
  <c r="K19"/>
  <c r="K41" s="1"/>
  <c r="L19"/>
  <c r="L41" s="1"/>
  <c r="M19"/>
  <c r="O19"/>
  <c r="Q19"/>
  <c r="Q41" s="1"/>
  <c r="R19"/>
  <c r="R41" s="1"/>
  <c r="S19"/>
  <c r="S41" s="1"/>
  <c r="T20"/>
  <c r="T21"/>
  <c r="T22"/>
  <c r="K31"/>
  <c r="C39"/>
  <c r="E39"/>
  <c r="G39"/>
  <c r="K39"/>
  <c r="L39"/>
  <c r="M39"/>
  <c r="O39"/>
  <c r="Q39"/>
  <c r="R39"/>
  <c r="C40"/>
  <c r="E40"/>
  <c r="G40"/>
  <c r="K40"/>
  <c r="L40"/>
  <c r="O40"/>
  <c r="Q40"/>
  <c r="R40"/>
  <c r="E41"/>
  <c r="M41"/>
  <c r="O41"/>
  <c r="C43"/>
  <c r="E43"/>
  <c r="F43"/>
  <c r="G43"/>
  <c r="H43"/>
  <c r="I43"/>
  <c r="K43"/>
  <c r="L43"/>
  <c r="M43"/>
  <c r="O43"/>
  <c r="P43"/>
  <c r="Q43"/>
  <c r="R43"/>
  <c r="T44"/>
  <c r="D31" i="3"/>
  <c r="E31"/>
  <c r="C29"/>
  <c r="F9" i="8" s="1"/>
  <c r="D146" i="4" s="1"/>
  <c r="B52"/>
  <c r="H52" s="1"/>
  <c r="B53"/>
  <c r="H53" s="1"/>
  <c r="B51"/>
  <c r="B54"/>
  <c r="H54" s="1"/>
  <c r="H50"/>
  <c r="T46" i="8"/>
  <c r="F26" i="3"/>
  <c r="E13" i="8"/>
  <c r="F13"/>
  <c r="F35" s="1"/>
  <c r="C30" i="3"/>
  <c r="G9" i="8" s="1"/>
  <c r="G31" s="1"/>
  <c r="C32" i="3"/>
  <c r="I9" i="8" s="1"/>
  <c r="I31" s="1"/>
  <c r="M13"/>
  <c r="M35" s="1"/>
  <c r="Q10"/>
  <c r="F37" i="5"/>
  <c r="L27" s="1"/>
  <c r="F39"/>
  <c r="D32" i="3"/>
  <c r="L32" s="1"/>
  <c r="E32"/>
  <c r="P17" i="8"/>
  <c r="P39" s="1"/>
  <c r="O25" i="5"/>
  <c r="O22"/>
  <c r="P137" i="4"/>
  <c r="N25" i="5"/>
  <c r="N22"/>
  <c r="O137" i="4"/>
  <c r="M25" i="5"/>
  <c r="M22"/>
  <c r="N137" i="4"/>
  <c r="D109"/>
  <c r="B107"/>
  <c r="B106"/>
  <c r="C21"/>
  <c r="B23"/>
  <c r="B24"/>
  <c r="B25"/>
  <c r="B26"/>
  <c r="P202"/>
  <c r="Q192"/>
  <c r="B116"/>
  <c r="B117"/>
  <c r="B115"/>
  <c r="B118"/>
  <c r="B119"/>
  <c r="B120"/>
  <c r="B121"/>
  <c r="B122"/>
  <c r="B100"/>
  <c r="B101"/>
  <c r="B102"/>
  <c r="B103"/>
  <c r="B104"/>
  <c r="B105"/>
  <c r="B99"/>
  <c r="P141"/>
  <c r="P139"/>
  <c r="O141"/>
  <c r="O139"/>
  <c r="N141"/>
  <c r="N139"/>
  <c r="J10"/>
  <c r="J11"/>
  <c r="J12"/>
  <c r="J13"/>
  <c r="J14"/>
  <c r="U22"/>
  <c r="U23"/>
  <c r="U24"/>
  <c r="U25"/>
  <c r="U26"/>
  <c r="U21"/>
  <c r="B44"/>
  <c r="O37" i="3"/>
  <c r="M40"/>
  <c r="K40"/>
  <c r="K41"/>
  <c r="O41" s="1"/>
  <c r="K42"/>
  <c r="O42" s="1"/>
  <c r="Q191" i="4"/>
  <c r="Q193"/>
  <c r="Q194"/>
  <c r="Q195"/>
  <c r="Q197"/>
  <c r="Q199"/>
  <c r="Q200"/>
  <c r="G27" i="3"/>
  <c r="G28"/>
  <c r="G34"/>
  <c r="G35"/>
  <c r="G36"/>
  <c r="G38"/>
  <c r="G39"/>
  <c r="G40"/>
  <c r="G41"/>
  <c r="G42"/>
  <c r="J37" i="5"/>
  <c r="P195" i="4"/>
  <c r="O195"/>
  <c r="F43" i="3"/>
  <c r="K27"/>
  <c r="O27" s="1"/>
  <c r="M37" i="5"/>
  <c r="P192" i="4"/>
  <c r="O192"/>
  <c r="K28" i="3"/>
  <c r="O28" s="1"/>
  <c r="P193" i="4"/>
  <c r="O193"/>
  <c r="K31" i="3"/>
  <c r="P197" i="4"/>
  <c r="O197"/>
  <c r="O34" i="3"/>
  <c r="P199" i="4"/>
  <c r="O35" i="3"/>
  <c r="P200" i="4"/>
  <c r="O36" i="3"/>
  <c r="O38"/>
  <c r="P203" i="4"/>
  <c r="L39" i="3"/>
  <c r="O39" s="1"/>
  <c r="P204" i="4"/>
  <c r="O204"/>
  <c r="P205"/>
  <c r="O205"/>
  <c r="P206"/>
  <c r="P207"/>
  <c r="O207"/>
  <c r="K26" i="3"/>
  <c r="L37" i="5"/>
  <c r="L39"/>
  <c r="L40"/>
  <c r="K39"/>
  <c r="K40"/>
  <c r="J39"/>
  <c r="J40"/>
  <c r="E50"/>
  <c r="D50"/>
  <c r="C50"/>
  <c r="C12" i="8" l="1"/>
  <c r="C34" s="1"/>
  <c r="L22" i="5"/>
  <c r="M39"/>
  <c r="D22"/>
  <c r="H17" i="8"/>
  <c r="H39" s="1"/>
  <c r="H115" i="4"/>
  <c r="F115"/>
  <c r="D115"/>
  <c r="E115"/>
  <c r="G115"/>
  <c r="C115"/>
  <c r="B124"/>
  <c r="D141" s="1"/>
  <c r="G120"/>
  <c r="H120"/>
  <c r="F120"/>
  <c r="D120"/>
  <c r="C120"/>
  <c r="E120"/>
  <c r="E117"/>
  <c r="C117"/>
  <c r="G117"/>
  <c r="H117"/>
  <c r="F117"/>
  <c r="D117"/>
  <c r="E121"/>
  <c r="G121"/>
  <c r="C121"/>
  <c r="H121"/>
  <c r="F121"/>
  <c r="D121"/>
  <c r="H119"/>
  <c r="F119"/>
  <c r="D119"/>
  <c r="C119"/>
  <c r="E119"/>
  <c r="G119"/>
  <c r="G116"/>
  <c r="H116"/>
  <c r="F116"/>
  <c r="D116"/>
  <c r="E116"/>
  <c r="C116"/>
  <c r="E122"/>
  <c r="G122"/>
  <c r="H122"/>
  <c r="F122"/>
  <c r="D122"/>
  <c r="C122"/>
  <c r="C118"/>
  <c r="E118"/>
  <c r="D118"/>
  <c r="G118"/>
  <c r="H118"/>
  <c r="F118"/>
  <c r="H51"/>
  <c r="D162"/>
  <c r="D184"/>
  <c r="D147"/>
  <c r="D171"/>
  <c r="J104"/>
  <c r="J101"/>
  <c r="J107"/>
  <c r="V109"/>
  <c r="J99"/>
  <c r="J105"/>
  <c r="J103"/>
  <c r="J102"/>
  <c r="J100"/>
  <c r="J106"/>
  <c r="G29"/>
  <c r="D29"/>
  <c r="I29"/>
  <c r="H29"/>
  <c r="E29"/>
  <c r="J17"/>
  <c r="C29"/>
  <c r="C31" i="8"/>
  <c r="G30" i="3"/>
  <c r="E137" i="4"/>
  <c r="E143"/>
  <c r="C194" s="1"/>
  <c r="K30" i="3"/>
  <c r="O30" s="1"/>
  <c r="C109" i="4"/>
  <c r="S14" i="8"/>
  <c r="G31" i="3"/>
  <c r="G29"/>
  <c r="D43"/>
  <c r="L31"/>
  <c r="L43" s="1"/>
  <c r="K29"/>
  <c r="O29" s="1"/>
  <c r="R203" i="4"/>
  <c r="C43" i="3"/>
  <c r="K32"/>
  <c r="M31"/>
  <c r="R207" i="4"/>
  <c r="R197"/>
  <c r="R195"/>
  <c r="H16" i="8"/>
  <c r="H38" s="1"/>
  <c r="L14"/>
  <c r="L23" s="1"/>
  <c r="J50" i="5"/>
  <c r="R200" i="4"/>
  <c r="F19" i="8"/>
  <c r="F41" s="1"/>
  <c r="F39"/>
  <c r="I16"/>
  <c r="H14"/>
  <c r="H36" s="1"/>
  <c r="U29" i="4"/>
  <c r="T9" i="8"/>
  <c r="F31"/>
  <c r="O40" i="3"/>
  <c r="T40" i="8"/>
  <c r="T43"/>
  <c r="P19"/>
  <c r="P41" s="1"/>
  <c r="G14"/>
  <c r="G36" s="1"/>
  <c r="G47" s="1"/>
  <c r="D14"/>
  <c r="R199" i="4"/>
  <c r="O14" i="8"/>
  <c r="I14"/>
  <c r="P14"/>
  <c r="K14"/>
  <c r="K23" s="1"/>
  <c r="R193" i="4"/>
  <c r="E35" i="8"/>
  <c r="E14"/>
  <c r="Q14"/>
  <c r="Q32"/>
  <c r="T13"/>
  <c r="L35"/>
  <c r="G35"/>
  <c r="C35"/>
  <c r="M14"/>
  <c r="M36" s="1"/>
  <c r="M47" s="1"/>
  <c r="R201" i="4"/>
  <c r="K50" i="5"/>
  <c r="L50"/>
  <c r="N26" i="3"/>
  <c r="O26" s="1"/>
  <c r="R205" i="4"/>
  <c r="R204"/>
  <c r="M32" i="3"/>
  <c r="E43"/>
  <c r="G26"/>
  <c r="G32"/>
  <c r="Q202" i="4"/>
  <c r="R192"/>
  <c r="D140" i="9" l="1"/>
  <c r="D139" i="4"/>
  <c r="E139" s="1"/>
  <c r="D191" s="1"/>
  <c r="P191" s="1"/>
  <c r="I121"/>
  <c r="I116"/>
  <c r="I120"/>
  <c r="D124"/>
  <c r="D156" s="1"/>
  <c r="I122"/>
  <c r="I117"/>
  <c r="I118"/>
  <c r="I119"/>
  <c r="S36" i="8"/>
  <c r="S47" s="1"/>
  <c r="T31"/>
  <c r="C124" i="4"/>
  <c r="D153" s="1"/>
  <c r="F124"/>
  <c r="G124"/>
  <c r="D177" s="1"/>
  <c r="H124"/>
  <c r="D174" s="1"/>
  <c r="E124"/>
  <c r="D149" s="1"/>
  <c r="I115"/>
  <c r="D23" i="8"/>
  <c r="D36"/>
  <c r="D47" s="1"/>
  <c r="I114" i="4"/>
  <c r="J109"/>
  <c r="O194"/>
  <c r="M143"/>
  <c r="P23" i="8"/>
  <c r="D180" i="4"/>
  <c r="D144"/>
  <c r="C191"/>
  <c r="S23" i="8"/>
  <c r="K36"/>
  <c r="K47" s="1"/>
  <c r="M23"/>
  <c r="H19"/>
  <c r="H41" s="1"/>
  <c r="H47" s="1"/>
  <c r="O31" i="3"/>
  <c r="G43"/>
  <c r="K43"/>
  <c r="G23" i="8"/>
  <c r="L36"/>
  <c r="L47" s="1"/>
  <c r="M43" i="3"/>
  <c r="I38" i="8"/>
  <c r="T16"/>
  <c r="N43" i="3"/>
  <c r="E146" i="4"/>
  <c r="D194" s="1"/>
  <c r="E179"/>
  <c r="C206" s="1"/>
  <c r="O23" i="8"/>
  <c r="O36"/>
  <c r="O47" s="1"/>
  <c r="I36"/>
  <c r="P36"/>
  <c r="P47" s="1"/>
  <c r="Q208" i="4"/>
  <c r="E23" i="8"/>
  <c r="E36"/>
  <c r="E47" s="1"/>
  <c r="Q36"/>
  <c r="Q47" s="1"/>
  <c r="Q23"/>
  <c r="T35"/>
  <c r="O32" i="3"/>
  <c r="R202" i="4"/>
  <c r="D25" i="5"/>
  <c r="F40" s="1"/>
  <c r="L25" s="1"/>
  <c r="M141" i="4"/>
  <c r="M137"/>
  <c r="I9" i="3"/>
  <c r="I8"/>
  <c r="M176" i="4"/>
  <c r="I10" i="3"/>
  <c r="M139" i="4" l="1"/>
  <c r="C10" i="8"/>
  <c r="C32" s="1"/>
  <c r="D165" i="4"/>
  <c r="D159"/>
  <c r="I124"/>
  <c r="F11" i="8"/>
  <c r="F33" s="1"/>
  <c r="P194" i="4"/>
  <c r="R194" s="1"/>
  <c r="M146"/>
  <c r="O43" i="3"/>
  <c r="M179" i="4"/>
  <c r="I17" i="8"/>
  <c r="M40" i="5"/>
  <c r="M50" s="1"/>
  <c r="F50"/>
  <c r="F206" i="4"/>
  <c r="O206"/>
  <c r="R206" s="1"/>
  <c r="R11" i="8"/>
  <c r="F191" i="4"/>
  <c r="C208"/>
  <c r="C11" i="8"/>
  <c r="O191" i="4"/>
  <c r="H23" i="8"/>
  <c r="C14" l="1"/>
  <c r="C23" s="1"/>
  <c r="D208" i="4"/>
  <c r="F208" s="1"/>
  <c r="F194"/>
  <c r="F10" i="8"/>
  <c r="F32" s="1"/>
  <c r="T32" s="1"/>
  <c r="R191" i="4"/>
  <c r="R208" s="1"/>
  <c r="O208"/>
  <c r="R33" i="8"/>
  <c r="R14"/>
  <c r="I39"/>
  <c r="T39" s="1"/>
  <c r="T17"/>
  <c r="I19"/>
  <c r="C33"/>
  <c r="T11"/>
  <c r="P208" i="4"/>
  <c r="C36" i="8" l="1"/>
  <c r="C47" s="1"/>
  <c r="T10"/>
  <c r="F14"/>
  <c r="T14" s="1"/>
  <c r="T33"/>
  <c r="I41"/>
  <c r="I23"/>
  <c r="T19"/>
  <c r="R36"/>
  <c r="R47" s="1"/>
  <c r="R23"/>
  <c r="F36" l="1"/>
  <c r="F47" s="1"/>
  <c r="F23"/>
  <c r="T23" s="1"/>
  <c r="I47"/>
  <c r="T41"/>
  <c r="T36" l="1"/>
  <c r="T47" s="1"/>
  <c r="J21" i="4"/>
  <c r="J22"/>
  <c r="J25"/>
  <c r="J26"/>
  <c r="J23"/>
  <c r="J27"/>
  <c r="J28"/>
  <c r="J24"/>
  <c r="J29"/>
</calcChain>
</file>

<file path=xl/comments1.xml><?xml version="1.0" encoding="utf-8"?>
<comments xmlns="http://schemas.openxmlformats.org/spreadsheetml/2006/main">
  <authors>
    <author>ASUS</author>
    <author>samir</author>
  </authors>
  <commentList>
    <comment ref="B29" authorId="0">
      <text>
        <r>
          <rPr>
            <b/>
            <sz val="9"/>
            <color indexed="81"/>
            <rFont val="Tahoma"/>
            <family val="2"/>
          </rPr>
          <t>ASUS:</t>
        </r>
        <r>
          <rPr>
            <sz val="9"/>
            <color indexed="81"/>
            <rFont val="Tahoma"/>
            <family val="2"/>
          </rPr>
          <t xml:space="preserve">
</t>
        </r>
        <r>
          <rPr>
            <b/>
            <sz val="12"/>
            <color indexed="81"/>
            <rFont val="Tahoma"/>
            <family val="2"/>
          </rPr>
          <t>Prière de vérifier que la cellule B29
est égale à 100 %</t>
        </r>
      </text>
    </comment>
    <comment ref="A59" authorId="0">
      <text>
        <r>
          <rPr>
            <b/>
            <sz val="9"/>
            <color indexed="81"/>
            <rFont val="Tahoma"/>
            <family val="2"/>
          </rPr>
          <t>ASUS:</t>
        </r>
        <r>
          <rPr>
            <sz val="9"/>
            <color indexed="81"/>
            <rFont val="Tahoma"/>
            <family val="2"/>
          </rPr>
          <t xml:space="preserve">
</t>
        </r>
        <r>
          <rPr>
            <sz val="10"/>
            <color indexed="81"/>
            <rFont val="Tahoma"/>
            <family val="2"/>
          </rPr>
          <t>Si vous possédez l'information complète sur le modèle énergétique de tous les Hammams de la commune, prière de contacter l'ANME pour entamer la reconstruction de cette partie en respectant la composition du mix énergétique de chaque hammam.</t>
        </r>
      </text>
    </comment>
    <comment ref="B95" authorId="0">
      <text>
        <r>
          <rPr>
            <b/>
            <sz val="9"/>
            <color indexed="81"/>
            <rFont val="Tahoma"/>
            <family val="2"/>
          </rPr>
          <t>ASUS:</t>
        </r>
        <r>
          <rPr>
            <sz val="9"/>
            <color indexed="81"/>
            <rFont val="Tahoma"/>
            <family val="2"/>
          </rPr>
          <t xml:space="preserve">
</t>
        </r>
        <r>
          <rPr>
            <b/>
            <sz val="11"/>
            <color indexed="81"/>
            <rFont val="Tahoma"/>
            <family val="2"/>
          </rPr>
          <t>Prière de vérifier que la cellule B95
est égale à 100 %</t>
        </r>
      </text>
    </comment>
    <comment ref="M135" authorId="1">
      <text>
        <r>
          <rPr>
            <b/>
            <sz val="9"/>
            <color indexed="81"/>
            <rFont val="Tahoma"/>
            <family val="2"/>
          </rPr>
          <t>samir:</t>
        </r>
        <r>
          <rPr>
            <sz val="9"/>
            <color indexed="81"/>
            <rFont val="Tahoma"/>
            <family val="2"/>
          </rPr>
          <t xml:space="preserve">
Colonne K à reprendre en fonction de l'emplacement des termes par lesquels les divisions sont faites</t>
        </r>
      </text>
    </comment>
    <comment ref="D182" authorId="0">
      <text>
        <r>
          <rPr>
            <b/>
            <sz val="9"/>
            <color indexed="81"/>
            <rFont val="Tahoma"/>
            <family val="2"/>
          </rPr>
          <t>ASUS:</t>
        </r>
        <r>
          <rPr>
            <sz val="9"/>
            <color indexed="81"/>
            <rFont val="Tahoma"/>
            <family val="2"/>
          </rPr>
          <t xml:space="preserve">
</t>
        </r>
        <r>
          <rPr>
            <sz val="12"/>
            <color indexed="81"/>
            <rFont val="Tahoma"/>
            <family val="2"/>
          </rPr>
          <t>Si vous possédez l'information complète sur la quantité de bois consommée dans le secteur résidensiel, prière de contacter l'ANME pour formuler l'équation de calcul dans cette cellule.</t>
        </r>
      </text>
    </comment>
  </commentList>
</comments>
</file>

<file path=xl/sharedStrings.xml><?xml version="1.0" encoding="utf-8"?>
<sst xmlns="http://schemas.openxmlformats.org/spreadsheetml/2006/main" count="1013" uniqueCount="431">
  <si>
    <t>Electricity</t>
  </si>
  <si>
    <t>Heat/Cold</t>
  </si>
  <si>
    <t>Lignite</t>
  </si>
  <si>
    <t>Fossil Fuel</t>
  </si>
  <si>
    <t>Renewable Energy</t>
  </si>
  <si>
    <t>Emissions (tCO2/Year)</t>
  </si>
  <si>
    <t>Type</t>
  </si>
  <si>
    <t>Description</t>
  </si>
  <si>
    <t>Residential Buildings</t>
  </si>
  <si>
    <t>Tertiary Buildings</t>
  </si>
  <si>
    <t>Industry</t>
  </si>
  <si>
    <t>Private Transport</t>
  </si>
  <si>
    <t>Public Transport</t>
  </si>
  <si>
    <t>Goods Transport</t>
  </si>
  <si>
    <t>Total</t>
  </si>
  <si>
    <t>Transport</t>
  </si>
  <si>
    <t>Emissions(tCO2/Year)</t>
  </si>
  <si>
    <t>Energy Consumption(MWh/Year)</t>
  </si>
  <si>
    <t>Residential</t>
  </si>
  <si>
    <t>Industrial</t>
  </si>
  <si>
    <t>National Consumptions (Energy Balance)</t>
  </si>
  <si>
    <t>MWh</t>
  </si>
  <si>
    <t>TOTAL</t>
  </si>
  <si>
    <t>Electricity (MWh)</t>
  </si>
  <si>
    <t>LPG (MWh)</t>
  </si>
  <si>
    <t>Solar Thermal (MWh)</t>
  </si>
  <si>
    <t>Sectors</t>
  </si>
  <si>
    <t>Type of fuel</t>
  </si>
  <si>
    <t>MWh/kg</t>
  </si>
  <si>
    <t>kg</t>
  </si>
  <si>
    <t>Total (per fuel)</t>
  </si>
  <si>
    <t>Total( per sector)</t>
  </si>
  <si>
    <t xml:space="preserve">           Transport</t>
  </si>
  <si>
    <t>1 tn CH4</t>
  </si>
  <si>
    <t>1 tn N2O</t>
  </si>
  <si>
    <t>Contents</t>
  </si>
  <si>
    <t>Electricité</t>
  </si>
  <si>
    <t>GPL</t>
  </si>
  <si>
    <t>Autres</t>
  </si>
  <si>
    <t>Chimie</t>
  </si>
  <si>
    <t>m3</t>
  </si>
  <si>
    <t>kg DBO / m3</t>
  </si>
  <si>
    <t>kgCH4 / kg DBO</t>
  </si>
  <si>
    <t>CH4 / CO2</t>
  </si>
  <si>
    <t>tCH4</t>
  </si>
  <si>
    <t>teqCO2</t>
  </si>
  <si>
    <t>kg DBO</t>
  </si>
  <si>
    <t>Natural Gas (MWh)</t>
  </si>
  <si>
    <t>Petcoke (MWh)</t>
  </si>
  <si>
    <t>Commercial and Public Services</t>
  </si>
  <si>
    <t>Electricity (ktoe)</t>
  </si>
  <si>
    <t>Natural Gas (ktoe)</t>
  </si>
  <si>
    <t>Petcoke (ktoe)</t>
  </si>
  <si>
    <t>Solar Thermal (ktoe)</t>
  </si>
  <si>
    <t>Coal (MWh)</t>
  </si>
  <si>
    <t>LPG (ktonnes)</t>
  </si>
  <si>
    <t>Coal (bituminous) (ktonnes)</t>
  </si>
  <si>
    <t>Net Calorific Values (MWh/t)</t>
  </si>
  <si>
    <t>National Consumptions (Energy Balance) - Ktoe or Ktonnes</t>
  </si>
  <si>
    <t>1 ktoe=</t>
  </si>
  <si>
    <t>IEA</t>
  </si>
  <si>
    <t>Hammams</t>
  </si>
  <si>
    <t xml:space="preserve"> </t>
  </si>
  <si>
    <t>Charbon</t>
  </si>
  <si>
    <t>Total volume of wastewater</t>
  </si>
  <si>
    <t>Définition du B0</t>
  </si>
  <si>
    <t>PRG</t>
  </si>
  <si>
    <t>Non applicable</t>
  </si>
  <si>
    <t>Commune</t>
  </si>
  <si>
    <t xml:space="preserve">          Données générales</t>
  </si>
  <si>
    <t>1. Veuillez choisir l'année de référence</t>
  </si>
  <si>
    <t>Année de référence</t>
  </si>
  <si>
    <r>
      <t xml:space="preserve">2.  Veuillez </t>
    </r>
    <r>
      <rPr>
        <b/>
        <sz val="12"/>
        <color rgb="FFFF6600"/>
        <rFont val="Calibri"/>
        <family val="2"/>
        <scheme val="minor"/>
      </rPr>
      <t>insérer</t>
    </r>
    <r>
      <rPr>
        <b/>
        <sz val="12"/>
        <color theme="1" tint="0.499984740745262"/>
        <rFont val="Calibri"/>
        <family val="2"/>
        <charset val="161"/>
        <scheme val="minor"/>
      </rPr>
      <t xml:space="preserve"> les données nationales pour l'année de référence en MWh </t>
    </r>
    <r>
      <rPr>
        <b/>
        <sz val="12"/>
        <color rgb="FFFF6600"/>
        <rFont val="Calibri"/>
        <family val="2"/>
        <scheme val="minor"/>
      </rPr>
      <t>(si disponible)</t>
    </r>
  </si>
  <si>
    <t>Consommations nationales (Bilan énergétique)</t>
  </si>
  <si>
    <t>Type de carburant</t>
  </si>
  <si>
    <t>Secteurs</t>
  </si>
  <si>
    <t>Residentiel</t>
  </si>
  <si>
    <t>Commercial et services publiques</t>
  </si>
  <si>
    <t>Industriel</t>
  </si>
  <si>
    <t>Electricité(MWh)</t>
  </si>
  <si>
    <t>Gas naturel (MWh)</t>
  </si>
  <si>
    <t>GPL(MWh)</t>
  </si>
  <si>
    <t>Essence (MWh)</t>
  </si>
  <si>
    <t>Charbon (MWh)</t>
  </si>
  <si>
    <t>Coke de pétrole (MWh)</t>
  </si>
  <si>
    <t>Solaire thermique (MWh)</t>
  </si>
  <si>
    <r>
      <t xml:space="preserve"> Consommations </t>
    </r>
    <r>
      <rPr>
        <b/>
        <sz val="14"/>
        <color rgb="FFCC00CC"/>
        <rFont val="Calibri"/>
        <family val="2"/>
        <scheme val="minor"/>
      </rPr>
      <t>nationales</t>
    </r>
    <r>
      <rPr>
        <b/>
        <sz val="14"/>
        <color theme="0"/>
        <rFont val="Calibri"/>
        <family val="2"/>
        <charset val="161"/>
        <scheme val="minor"/>
      </rPr>
      <t xml:space="preserve"> sélectionnées pour l'année de référence</t>
    </r>
  </si>
  <si>
    <t xml:space="preserve">Population </t>
  </si>
  <si>
    <t>Région</t>
  </si>
  <si>
    <t>Année</t>
  </si>
  <si>
    <r>
      <rPr>
        <b/>
        <sz val="14"/>
        <color theme="2" tint="-9.9978637043366805E-2"/>
        <rFont val="Calibri"/>
        <family val="2"/>
        <scheme val="minor"/>
      </rPr>
      <t>Population</t>
    </r>
    <r>
      <rPr>
        <b/>
        <sz val="14"/>
        <color rgb="FFCC00CC"/>
        <rFont val="Calibri"/>
        <family val="2"/>
        <charset val="161"/>
        <scheme val="minor"/>
      </rPr>
      <t xml:space="preserve"> </t>
    </r>
    <r>
      <rPr>
        <b/>
        <sz val="14"/>
        <color rgb="FFCC00CC"/>
        <rFont val="Calibri"/>
        <family val="2"/>
        <scheme val="minor"/>
      </rPr>
      <t>selectionnée</t>
    </r>
  </si>
  <si>
    <t xml:space="preserve">Facteurs de conversion </t>
  </si>
  <si>
    <t>GES</t>
  </si>
  <si>
    <t>Unité</t>
  </si>
  <si>
    <t>Carburant</t>
  </si>
  <si>
    <t>Essence</t>
  </si>
  <si>
    <t>Bois</t>
  </si>
  <si>
    <t>Coke de pétrole</t>
  </si>
  <si>
    <t>Gaz naturel</t>
  </si>
  <si>
    <t>MWh/litre</t>
  </si>
  <si>
    <t>Facteurs d'émission</t>
  </si>
  <si>
    <t>Chaleur/Froid</t>
  </si>
  <si>
    <t>Gaz liquide (GPL)</t>
  </si>
  <si>
    <t>Huile de chauffage</t>
  </si>
  <si>
    <t>Autres charbons bitumineux</t>
  </si>
  <si>
    <t>Autres combustibles fossiles (coke de pétrole)</t>
  </si>
  <si>
    <t>Huile végétale</t>
  </si>
  <si>
    <t>Energie renouvelable</t>
  </si>
  <si>
    <t>Biocarburant</t>
  </si>
  <si>
    <t>Autre biomasse</t>
  </si>
  <si>
    <t>Solaire thermique</t>
  </si>
  <si>
    <t>Géothermie</t>
  </si>
  <si>
    <t xml:space="preserve">              Commune</t>
  </si>
  <si>
    <r>
      <t>1.  Veuillez</t>
    </r>
    <r>
      <rPr>
        <b/>
        <sz val="12"/>
        <color rgb="FFFF6600"/>
        <rFont val="Calibri"/>
        <family val="2"/>
        <scheme val="minor"/>
      </rPr>
      <t xml:space="preserve"> insérer</t>
    </r>
    <r>
      <rPr>
        <b/>
        <sz val="12"/>
        <color theme="1" tint="0.499984740745262"/>
        <rFont val="Calibri"/>
        <family val="2"/>
        <charset val="161"/>
        <scheme val="minor"/>
      </rPr>
      <t xml:space="preserve"> les consommations selon la description</t>
    </r>
  </si>
  <si>
    <t>Echelle</t>
  </si>
  <si>
    <t>Valeur</t>
  </si>
  <si>
    <t>Source</t>
  </si>
  <si>
    <t>Consommations électriques</t>
  </si>
  <si>
    <t>Consommations de GPL</t>
  </si>
  <si>
    <t>Consommations d'essence</t>
  </si>
  <si>
    <r>
      <t xml:space="preserve">2. Résultats (Si vous avez des consommations supplémentaires, veuillez les </t>
    </r>
    <r>
      <rPr>
        <b/>
        <sz val="12"/>
        <color rgb="FFFF6600"/>
        <rFont val="Calibri"/>
        <family val="2"/>
        <scheme val="minor"/>
      </rPr>
      <t>insérer</t>
    </r>
    <r>
      <rPr>
        <b/>
        <sz val="12"/>
        <color theme="1" tint="0.499984740745262"/>
        <rFont val="Calibri"/>
        <family val="2"/>
        <charset val="161"/>
        <scheme val="minor"/>
      </rPr>
      <t xml:space="preserve"> dans les cellules appropriées en MWh dans le tableau suivant)</t>
    </r>
  </si>
  <si>
    <t>Source d'énergie</t>
  </si>
  <si>
    <t>Flotte communale</t>
  </si>
  <si>
    <t>Transport des déchets</t>
  </si>
  <si>
    <t>Total (par carburant)</t>
  </si>
  <si>
    <t>Combustibles fossiles</t>
  </si>
  <si>
    <t>Total (par source d'énergie)</t>
  </si>
  <si>
    <t xml:space="preserve">            Secteur privé (Residentiel, Tertiaire, Industrie)</t>
  </si>
  <si>
    <r>
      <t xml:space="preserve">R.1. </t>
    </r>
    <r>
      <rPr>
        <b/>
        <sz val="14"/>
        <color theme="1" tint="0.499984740745262"/>
        <rFont val="Calibri"/>
        <family val="2"/>
        <scheme val="minor"/>
      </rPr>
      <t xml:space="preserve"> Veuillez </t>
    </r>
    <r>
      <rPr>
        <b/>
        <sz val="14"/>
        <color rgb="FFFF6600"/>
        <rFont val="Calibri"/>
        <family val="2"/>
        <scheme val="minor"/>
      </rPr>
      <t>insérer</t>
    </r>
    <r>
      <rPr>
        <b/>
        <sz val="14"/>
        <color theme="1" tint="0.499984740745262"/>
        <rFont val="Calibri"/>
        <family val="2"/>
        <scheme val="minor"/>
      </rPr>
      <t xml:space="preserve"> </t>
    </r>
    <r>
      <rPr>
        <b/>
        <sz val="14"/>
        <color rgb="FFFF6600"/>
        <rFont val="Calibri"/>
        <family val="2"/>
        <scheme val="minor"/>
      </rPr>
      <t>(si disponible)</t>
    </r>
    <r>
      <rPr>
        <b/>
        <sz val="14"/>
        <color theme="1" tint="0.499984740745262"/>
        <rFont val="Calibri"/>
        <family val="2"/>
        <scheme val="minor"/>
      </rPr>
      <t xml:space="preserve"> les pourcentages de consommation d'énergie par activité et par carburant pour le </t>
    </r>
    <r>
      <rPr>
        <b/>
        <sz val="14"/>
        <color theme="5"/>
        <rFont val="Calibri"/>
        <family val="2"/>
        <scheme val="minor"/>
      </rPr>
      <t xml:space="preserve">secteur résidentiel  </t>
    </r>
  </si>
  <si>
    <t>Eau Chaude Sanitaire</t>
  </si>
  <si>
    <t>Cuisson</t>
  </si>
  <si>
    <t>Electricité spécifique</t>
  </si>
  <si>
    <t>Climatisation</t>
  </si>
  <si>
    <t>Eclairage</t>
  </si>
  <si>
    <t>Chauffage</t>
  </si>
  <si>
    <t>TOTAL (par rapport au total des activités)</t>
  </si>
  <si>
    <r>
      <t xml:space="preserve"> Pourcentages </t>
    </r>
    <r>
      <rPr>
        <b/>
        <sz val="14"/>
        <color rgb="FFCC00CC"/>
        <rFont val="Calibri"/>
        <family val="2"/>
        <scheme val="minor"/>
      </rPr>
      <t>selectionnés</t>
    </r>
    <r>
      <rPr>
        <b/>
        <sz val="14"/>
        <color theme="0"/>
        <rFont val="Calibri"/>
        <family val="2"/>
        <charset val="161"/>
        <scheme val="minor"/>
      </rPr>
      <t xml:space="preserve"> de consommation d'énergie dans le </t>
    </r>
    <r>
      <rPr>
        <b/>
        <sz val="14"/>
        <color theme="5"/>
        <rFont val="Calibri"/>
        <family val="2"/>
        <scheme val="minor"/>
      </rPr>
      <t>secteur résidentiel</t>
    </r>
    <r>
      <rPr>
        <b/>
        <sz val="14"/>
        <color theme="0"/>
        <rFont val="Calibri"/>
        <family val="2"/>
        <charset val="161"/>
        <scheme val="minor"/>
      </rPr>
      <t xml:space="preserve"> par usage et par carburant</t>
    </r>
  </si>
  <si>
    <t>Catégorie</t>
  </si>
  <si>
    <t>CONSOMMATION D'ÉNERGIE FINALE (MWh)</t>
  </si>
  <si>
    <t>Chaleur/froid</t>
  </si>
  <si>
    <t>Gaz liquide</t>
  </si>
  <si>
    <t>Autre combustibles fossiles</t>
  </si>
  <si>
    <t>Bio-carburants</t>
  </si>
  <si>
    <t>Autre biomasses</t>
  </si>
  <si>
    <t xml:space="preserve">Energie thermique solaire </t>
  </si>
  <si>
    <t>Energie géomètrique</t>
  </si>
  <si>
    <t>Bâtiments, Equipements/Installations et Industries</t>
  </si>
  <si>
    <t xml:space="preserve">Bâtiments,Equipements/installations communaux </t>
  </si>
  <si>
    <t>Bâtiments,Equipements/installations tertiaires</t>
  </si>
  <si>
    <t>Bâtiments résidentiels</t>
  </si>
  <si>
    <t xml:space="preserve">Eclairage public communaux </t>
  </si>
  <si>
    <t xml:space="preserve">Industrie </t>
  </si>
  <si>
    <t>Sous-total</t>
  </si>
  <si>
    <t>Flotte communal</t>
  </si>
  <si>
    <t>Transport public</t>
  </si>
  <si>
    <t>Transport privé</t>
  </si>
  <si>
    <t>Agriculture, Sylviculture, Pêche</t>
  </si>
  <si>
    <t>Bâtiments, Équipements / Installations, Industries</t>
  </si>
  <si>
    <t>Eclairage public</t>
  </si>
  <si>
    <t>Industrie</t>
  </si>
  <si>
    <t>ous-total</t>
  </si>
  <si>
    <t>Agriculture (NON Energie)</t>
  </si>
  <si>
    <t xml:space="preserve">Traitement des eaux usées
</t>
  </si>
  <si>
    <r>
      <t xml:space="preserve">Consommation électrique dans </t>
    </r>
    <r>
      <rPr>
        <b/>
        <sz val="14"/>
        <color theme="7" tint="-0.249977111117893"/>
        <rFont val="Calibri"/>
        <family val="2"/>
        <scheme val="minor"/>
      </rPr>
      <t>le Tertiaire</t>
    </r>
    <r>
      <rPr>
        <b/>
        <sz val="14"/>
        <color theme="0"/>
        <rFont val="Calibri"/>
        <family val="2"/>
        <charset val="161"/>
        <scheme val="minor"/>
      </rPr>
      <t xml:space="preserve"> par branche</t>
    </r>
  </si>
  <si>
    <t>Branches</t>
  </si>
  <si>
    <t>Biomasse (Bois)</t>
  </si>
  <si>
    <t>Bureaux publics &amp; Administration</t>
  </si>
  <si>
    <t>Commerces</t>
  </si>
  <si>
    <r>
      <t xml:space="preserve"> Pourcentage selectionné de consommation d'énergie dans le </t>
    </r>
    <r>
      <rPr>
        <b/>
        <sz val="14"/>
        <color theme="7" tint="-0.249977111117893"/>
        <rFont val="Calibri"/>
        <family val="2"/>
        <scheme val="minor"/>
      </rPr>
      <t>secteur Tertiaire</t>
    </r>
    <r>
      <rPr>
        <b/>
        <sz val="14"/>
        <color theme="0"/>
        <rFont val="Calibri"/>
        <family val="2"/>
        <charset val="161"/>
        <scheme val="minor"/>
      </rPr>
      <t xml:space="preserve"> par branche et par combustible</t>
    </r>
  </si>
  <si>
    <t>Electricité (MWh)</t>
  </si>
  <si>
    <r>
      <t xml:space="preserve">I.1. </t>
    </r>
    <r>
      <rPr>
        <b/>
        <sz val="14"/>
        <color rgb="FFFF6600"/>
        <rFont val="Calibri"/>
        <family val="2"/>
        <charset val="161"/>
        <scheme val="minor"/>
      </rPr>
      <t xml:space="preserve"> </t>
    </r>
    <r>
      <rPr>
        <b/>
        <sz val="14"/>
        <color theme="1" tint="0.499984740745262"/>
        <rFont val="Calibri"/>
        <family val="2"/>
        <scheme val="minor"/>
      </rPr>
      <t xml:space="preserve">Veuillez </t>
    </r>
    <r>
      <rPr>
        <b/>
        <sz val="14"/>
        <color rgb="FFFF6600"/>
        <rFont val="Calibri"/>
        <family val="2"/>
        <scheme val="minor"/>
      </rPr>
      <t>insérer</t>
    </r>
    <r>
      <rPr>
        <b/>
        <sz val="14"/>
        <color theme="1" tint="0.499984740745262"/>
        <rFont val="Calibri"/>
        <family val="2"/>
        <scheme val="minor"/>
      </rPr>
      <t xml:space="preserve"> la consommation d'électricité par secteur pour</t>
    </r>
    <r>
      <rPr>
        <b/>
        <sz val="14"/>
        <color rgb="FFFF6600"/>
        <rFont val="Calibri"/>
        <family val="2"/>
        <scheme val="minor"/>
      </rPr>
      <t xml:space="preserve"> l'industrie</t>
    </r>
  </si>
  <si>
    <r>
      <t xml:space="preserve"> La consommation d'électricité par secteur dans </t>
    </r>
    <r>
      <rPr>
        <b/>
        <sz val="14"/>
        <color rgb="FFFF6600"/>
        <rFont val="Calibri"/>
        <family val="2"/>
        <scheme val="minor"/>
      </rPr>
      <t>l'industrie</t>
    </r>
  </si>
  <si>
    <t>Secteur</t>
  </si>
  <si>
    <t>Consommation d'électricité (MWh)</t>
  </si>
  <si>
    <r>
      <t xml:space="preserve">I.2. </t>
    </r>
    <r>
      <rPr>
        <b/>
        <sz val="14"/>
        <color theme="1" tint="0.499984740745262"/>
        <rFont val="Calibri"/>
        <family val="2"/>
        <scheme val="minor"/>
      </rPr>
      <t xml:space="preserve">Veuillez </t>
    </r>
    <r>
      <rPr>
        <b/>
        <sz val="14"/>
        <color rgb="FFFF6600"/>
        <rFont val="Calibri"/>
        <family val="2"/>
        <scheme val="minor"/>
      </rPr>
      <t>insérer</t>
    </r>
    <r>
      <rPr>
        <b/>
        <sz val="14"/>
        <color theme="1" tint="0.499984740745262"/>
        <rFont val="Calibri"/>
        <family val="2"/>
        <scheme val="minor"/>
      </rPr>
      <t xml:space="preserve"> le pourcentage de consommation d'énergie par secteur et par combustible pour</t>
    </r>
    <r>
      <rPr>
        <b/>
        <sz val="14"/>
        <color rgb="FFFF6600"/>
        <rFont val="Calibri"/>
        <family val="2"/>
        <scheme val="minor"/>
      </rPr>
      <t xml:space="preserve"> l'industrie</t>
    </r>
  </si>
  <si>
    <t xml:space="preserve">TOTAL </t>
  </si>
  <si>
    <r>
      <t xml:space="preserve"> pourcentages selectionnés de consommation d'énergie  dans </t>
    </r>
    <r>
      <rPr>
        <b/>
        <sz val="14"/>
        <color rgb="FFFF6600"/>
        <rFont val="Calibri"/>
        <family val="2"/>
        <scheme val="minor"/>
      </rPr>
      <t>l'industrie</t>
    </r>
    <r>
      <rPr>
        <b/>
        <sz val="14"/>
        <color theme="0"/>
        <rFont val="Calibri"/>
        <family val="2"/>
        <scheme val="minor"/>
      </rPr>
      <t xml:space="preserve"> par secteur et par combustible</t>
    </r>
  </si>
  <si>
    <t xml:space="preserve">  Calcul de l'énergie consommée dans l'industrie par secteur et par combustible (MWh)</t>
  </si>
  <si>
    <t>Nombre de véhicules</t>
  </si>
  <si>
    <t>Distance annuelle moyenne (National) (km)</t>
  </si>
  <si>
    <t>Petits taxis</t>
  </si>
  <si>
    <t>Grands taxis</t>
  </si>
  <si>
    <t>Autobus</t>
  </si>
  <si>
    <t>2. Veuillez insérer les consommations selon la description et les unités pour la commune. Sélectionnez ensuite la valeur entre votre entrée et les valeurs estimées.</t>
  </si>
  <si>
    <t>*Attention! Si la commune est un centre touristique, les consommations réelles peuvent varier  par rapport à l'estimation qui est basée sur la moyenne nationale.</t>
  </si>
  <si>
    <t xml:space="preserve">Échelle
</t>
  </si>
  <si>
    <t>Est. Consommation d'essence (Privé &amp; Public)</t>
  </si>
  <si>
    <t>Valeur sélectionnée</t>
  </si>
  <si>
    <t>Source/Auteur</t>
  </si>
  <si>
    <t>3. Résultats (Si vous avez des consommations supplémentaires, veuillez les insérer dans les cellules appropriées dans MWh dans le tableau suivant)</t>
  </si>
  <si>
    <t>Consommation d'énergie (MWh / an)</t>
  </si>
  <si>
    <t xml:space="preserve"> Source d'énergie </t>
  </si>
  <si>
    <t>Tansport public</t>
  </si>
  <si>
    <t>Transport de marchandises</t>
  </si>
  <si>
    <t xml:space="preserve">Combustibles fossiles
</t>
  </si>
  <si>
    <t>Gaz liquide( GPL)</t>
  </si>
  <si>
    <t>Autres combustibles fossiles</t>
  </si>
  <si>
    <t>Géothermique</t>
  </si>
  <si>
    <t>Total( par secteur)</t>
  </si>
  <si>
    <t xml:space="preserve">Huile de chauffage
</t>
  </si>
  <si>
    <t xml:space="preserve">Energie renouvelable </t>
  </si>
  <si>
    <t xml:space="preserve">           Traitement des eaux usées</t>
  </si>
  <si>
    <t>1. Veuillez insérer le volume total des eaux usées brutes</t>
  </si>
  <si>
    <t>Volume total des eaux usées brutes</t>
  </si>
  <si>
    <t>Calcul des émissions de CO2</t>
  </si>
  <si>
    <t>Calcul de DBO</t>
  </si>
  <si>
    <t>MCF, facteur de correction CH4</t>
  </si>
  <si>
    <t>R:Capturer CH4</t>
  </si>
  <si>
    <t>Émissions de CH4</t>
  </si>
  <si>
    <t>Émissions équivalentes de CO2</t>
  </si>
  <si>
    <t xml:space="preserve">           Consommations finales et émissions</t>
  </si>
  <si>
    <t>Échelle</t>
  </si>
  <si>
    <t xml:space="preserve">Source/Auteur
</t>
  </si>
  <si>
    <r>
      <t xml:space="preserve">Estim. Elec. Consommation </t>
    </r>
    <r>
      <rPr>
        <sz val="11"/>
        <color theme="4" tint="0.59999389629810485"/>
        <rFont val="Calibri"/>
        <family val="2"/>
        <scheme val="minor"/>
      </rPr>
      <t>résidentiel</t>
    </r>
  </si>
  <si>
    <r>
      <t xml:space="preserve">Elec. Consommation </t>
    </r>
    <r>
      <rPr>
        <sz val="11"/>
        <color theme="4" tint="0.59999389629810485"/>
        <rFont val="Calibri"/>
        <family val="2"/>
        <scheme val="minor"/>
      </rPr>
      <t>résidentiel</t>
    </r>
  </si>
  <si>
    <t>commune</t>
  </si>
  <si>
    <r>
      <t xml:space="preserve">Estim. Elec. Consommation </t>
    </r>
    <r>
      <rPr>
        <sz val="12"/>
        <color theme="7" tint="-0.249977111117893"/>
        <rFont val="Calibri"/>
        <family val="2"/>
        <scheme val="minor"/>
      </rPr>
      <t>tertiaire</t>
    </r>
  </si>
  <si>
    <r>
      <t xml:space="preserve">Elec. Consommation </t>
    </r>
    <r>
      <rPr>
        <sz val="11"/>
        <color theme="7" tint="-0.249977111117893"/>
        <rFont val="Calibri"/>
        <family val="2"/>
        <scheme val="minor"/>
      </rPr>
      <t>tertiaire</t>
    </r>
  </si>
  <si>
    <r>
      <t xml:space="preserve">Estim. Elec. Consommatioin de </t>
    </r>
    <r>
      <rPr>
        <sz val="11"/>
        <color rgb="FFFF6600"/>
        <rFont val="Calibri"/>
        <family val="2"/>
        <scheme val="minor"/>
      </rPr>
      <t>l'industrie</t>
    </r>
  </si>
  <si>
    <r>
      <t>Elec.Consommatioin de</t>
    </r>
    <r>
      <rPr>
        <sz val="11"/>
        <color rgb="FFFF6600"/>
        <rFont val="Calibri"/>
        <family val="2"/>
        <scheme val="minor"/>
      </rPr>
      <t xml:space="preserve"> l'industrie</t>
    </r>
  </si>
  <si>
    <t>Consommation de GPL</t>
  </si>
  <si>
    <r>
      <t xml:space="preserve">Estim. GPL. consommation </t>
    </r>
    <r>
      <rPr>
        <sz val="11"/>
        <color theme="5"/>
        <rFont val="Calibri"/>
        <family val="2"/>
        <charset val="161"/>
        <scheme val="minor"/>
      </rPr>
      <t>Residentiel</t>
    </r>
  </si>
  <si>
    <r>
      <t>LPG. Consommation</t>
    </r>
    <r>
      <rPr>
        <b/>
        <sz val="11"/>
        <color theme="5"/>
        <rFont val="Calibri"/>
        <family val="2"/>
        <charset val="161"/>
        <scheme val="minor"/>
      </rPr>
      <t xml:space="preserve"> Residentiel</t>
    </r>
  </si>
  <si>
    <r>
      <t xml:space="preserve">Estim GPL Consommation </t>
    </r>
    <r>
      <rPr>
        <sz val="11"/>
        <color theme="7" tint="-0.249977111117893"/>
        <rFont val="Calibri"/>
        <family val="2"/>
        <scheme val="minor"/>
      </rPr>
      <t>tertiaire</t>
    </r>
  </si>
  <si>
    <r>
      <t xml:space="preserve">Estim. GPL Consommation de </t>
    </r>
    <r>
      <rPr>
        <sz val="11"/>
        <color rgb="FFFF6600"/>
        <rFont val="Calibri"/>
        <family val="2"/>
        <scheme val="minor"/>
      </rPr>
      <t>l'industrie</t>
    </r>
    <r>
      <rPr>
        <sz val="11"/>
        <color rgb="FFFF6600"/>
        <rFont val="Calibri"/>
        <family val="2"/>
        <charset val="161"/>
        <scheme val="minor"/>
      </rPr>
      <t xml:space="preserve"> </t>
    </r>
    <r>
      <rPr>
        <sz val="11"/>
        <color theme="1"/>
        <rFont val="Calibri"/>
        <family val="2"/>
        <charset val="161"/>
        <scheme val="minor"/>
      </rPr>
      <t>(based on percentages)</t>
    </r>
  </si>
  <si>
    <r>
      <t xml:space="preserve">Estim. Consommation de petcokede </t>
    </r>
    <r>
      <rPr>
        <sz val="11"/>
        <color rgb="FFFF6600"/>
        <rFont val="Calibri"/>
        <family val="2"/>
        <scheme val="minor"/>
      </rPr>
      <t>l'Industrie</t>
    </r>
  </si>
  <si>
    <r>
      <t xml:space="preserve">Estim.consommation de petcoke de </t>
    </r>
    <r>
      <rPr>
        <sz val="11"/>
        <color rgb="FFFF6600"/>
        <rFont val="Calibri"/>
        <family val="2"/>
        <charset val="161"/>
        <scheme val="minor"/>
      </rPr>
      <t xml:space="preserve">Industrie  </t>
    </r>
    <r>
      <rPr>
        <sz val="11"/>
        <color theme="1"/>
        <rFont val="Calibri"/>
        <family val="2"/>
        <charset val="161"/>
        <scheme val="minor"/>
      </rPr>
      <t>(basé sur les percentages)</t>
    </r>
  </si>
  <si>
    <r>
      <t xml:space="preserve">consommation de petcokde </t>
    </r>
    <r>
      <rPr>
        <sz val="11"/>
        <color rgb="FFFF6600"/>
        <rFont val="Calibri"/>
        <family val="2"/>
        <scheme val="minor"/>
      </rPr>
      <t xml:space="preserve"> l'Industrie</t>
    </r>
  </si>
  <si>
    <r>
      <t xml:space="preserve">Estim.consommation de gaz naturel de </t>
    </r>
    <r>
      <rPr>
        <sz val="11"/>
        <color rgb="FFFF6600"/>
        <rFont val="Calibri"/>
        <family val="2"/>
        <scheme val="minor"/>
      </rPr>
      <t>l'Industrie</t>
    </r>
  </si>
  <si>
    <r>
      <t>Estim.consommation de gaz naturel de</t>
    </r>
    <r>
      <rPr>
        <sz val="11"/>
        <color rgb="FFFF6600"/>
        <rFont val="Calibri"/>
        <family val="2"/>
        <scheme val="minor"/>
      </rPr>
      <t xml:space="preserve"> l'Industrie</t>
    </r>
    <r>
      <rPr>
        <sz val="11"/>
        <color rgb="FFFF6600"/>
        <rFont val="Calibri"/>
        <family val="2"/>
        <charset val="161"/>
        <scheme val="minor"/>
      </rPr>
      <t xml:space="preserve">  </t>
    </r>
    <r>
      <rPr>
        <sz val="11"/>
        <color theme="1"/>
        <rFont val="Calibri"/>
        <family val="2"/>
        <charset val="161"/>
        <scheme val="minor"/>
      </rPr>
      <t>(basée sur les percentages)</t>
    </r>
  </si>
  <si>
    <r>
      <t xml:space="preserve">Estim. Consommation de charbon de </t>
    </r>
    <r>
      <rPr>
        <sz val="11"/>
        <color rgb="FFFF6600"/>
        <rFont val="Calibri"/>
        <family val="2"/>
        <scheme val="minor"/>
      </rPr>
      <t>l'Industrie</t>
    </r>
    <r>
      <rPr>
        <sz val="11"/>
        <color theme="1"/>
        <rFont val="Calibri"/>
        <family val="2"/>
        <charset val="161"/>
        <scheme val="minor"/>
      </rPr>
      <t xml:space="preserve"> </t>
    </r>
  </si>
  <si>
    <t>Autres consommations</t>
  </si>
  <si>
    <r>
      <t xml:space="preserve">Est. Solaire thermique du </t>
    </r>
    <r>
      <rPr>
        <sz val="11"/>
        <color theme="5"/>
        <rFont val="Calibri"/>
        <family val="2"/>
        <charset val="161"/>
        <scheme val="minor"/>
      </rPr>
      <t>Residentiel</t>
    </r>
  </si>
  <si>
    <r>
      <t xml:space="preserve">Est. Solaire thermique du </t>
    </r>
    <r>
      <rPr>
        <sz val="11"/>
        <color theme="5"/>
        <rFont val="Calibri"/>
        <family val="2"/>
        <charset val="161"/>
        <scheme val="minor"/>
      </rPr>
      <t xml:space="preserve">Residentiel </t>
    </r>
    <r>
      <rPr>
        <sz val="11"/>
        <color theme="1"/>
        <rFont val="Calibri"/>
        <family val="2"/>
        <charset val="161"/>
        <scheme val="minor"/>
      </rPr>
      <t>(basée sue les percentages)</t>
    </r>
  </si>
  <si>
    <r>
      <rPr>
        <sz val="11"/>
        <color theme="1"/>
        <rFont val="Calibri"/>
        <family val="2"/>
        <charset val="161"/>
        <scheme val="minor"/>
      </rPr>
      <t>Est. Consommation de bois de</t>
    </r>
    <r>
      <rPr>
        <b/>
        <sz val="11"/>
        <color theme="1"/>
        <rFont val="Calibri"/>
        <family val="2"/>
        <charset val="161"/>
        <scheme val="minor"/>
      </rPr>
      <t xml:space="preserve"> </t>
    </r>
    <r>
      <rPr>
        <b/>
        <sz val="11"/>
        <color theme="5"/>
        <rFont val="Calibri"/>
        <family val="2"/>
        <charset val="161"/>
        <scheme val="minor"/>
      </rPr>
      <t xml:space="preserve"> </t>
    </r>
    <r>
      <rPr>
        <b/>
        <sz val="11"/>
        <color theme="7" tint="-0.499984740745262"/>
        <rFont val="Calibri"/>
        <family val="2"/>
        <charset val="161"/>
        <scheme val="minor"/>
      </rPr>
      <t>Tertiare</t>
    </r>
  </si>
  <si>
    <t>Consommations d'énergie dans les bâtiments et les installations résidentiels, tertiaires et industriels</t>
  </si>
  <si>
    <t>A.1 Veuillez insérer les consommations selon la description et les unités pour la municipalité. Sélectionnez ensuite la valeur entre votre entrée et les valeurs estimées.</t>
  </si>
  <si>
    <t>Consommation d'énergie(MWh/ Year)</t>
  </si>
  <si>
    <t xml:space="preserve"> Source d'énergie</t>
  </si>
  <si>
    <t>Bâtiments tertiaires</t>
  </si>
  <si>
    <t>chaleur/Froid</t>
  </si>
  <si>
    <t>Gas naturel</t>
  </si>
  <si>
    <t>Gas liquide ( GPL)</t>
  </si>
  <si>
    <t xml:space="preserve">Huile de chauffage </t>
  </si>
  <si>
    <t>Géotermie</t>
  </si>
  <si>
    <t>Total( par secteur))</t>
  </si>
  <si>
    <t>A.2. Résultats (Si vous avez des consommations supplémentaires, veuillez les insérer dans les cellules appropriées dans MWh dans le tableau suivant)</t>
  </si>
  <si>
    <t>* Certaines estimations peuvent ne pas apparaître si les tableaux précédents ne sont pas remplis.</t>
  </si>
  <si>
    <t>*Attention! Si la municipalité est un centre touristique, les consommations réelles peuvent varier (plus haut) par rapport à l'estimation qui est basée sur la moyenne nationale. (principalement en tertiaire)</t>
  </si>
  <si>
    <t>Tunisie</t>
  </si>
  <si>
    <r>
      <t xml:space="preserve">3. Veuillez </t>
    </r>
    <r>
      <rPr>
        <b/>
        <sz val="12"/>
        <color rgb="FFFF6600"/>
        <rFont val="Calibri"/>
        <family val="2"/>
        <scheme val="minor"/>
      </rPr>
      <t>insérer</t>
    </r>
    <r>
      <rPr>
        <b/>
        <sz val="12"/>
        <color theme="1" tint="0.499984740745262"/>
        <rFont val="Calibri"/>
        <family val="2"/>
        <charset val="161"/>
        <scheme val="minor"/>
      </rPr>
      <t xml:space="preserve"> la population de la commune pour l'année désirée seulement. Si la population de la Tunisie est disponible </t>
    </r>
    <r>
      <rPr>
        <b/>
        <sz val="12"/>
        <color rgb="FFFF6600"/>
        <rFont val="Calibri"/>
        <family val="2"/>
        <scheme val="minor"/>
      </rPr>
      <t>insérez</t>
    </r>
    <r>
      <rPr>
        <b/>
        <sz val="12"/>
        <color theme="1" tint="0.499984740745262"/>
        <rFont val="Calibri"/>
        <family val="2"/>
        <charset val="161"/>
        <scheme val="minor"/>
      </rPr>
      <t xml:space="preserve">-la aussi, en </t>
    </r>
    <r>
      <rPr>
        <b/>
        <sz val="12"/>
        <color rgb="FFFF6600"/>
        <rFont val="Calibri"/>
        <family val="2"/>
        <scheme val="minor"/>
      </rPr>
      <t>remplaçant</t>
    </r>
    <r>
      <rPr>
        <b/>
        <sz val="12"/>
        <color theme="1" tint="0.499984740745262"/>
        <rFont val="Calibri"/>
        <family val="2"/>
        <charset val="161"/>
        <scheme val="minor"/>
      </rPr>
      <t xml:space="preserve"> l'existant.</t>
    </r>
  </si>
  <si>
    <t>Comparaison avec d'autres communes tunisiennes (MWh/habitant)</t>
  </si>
  <si>
    <t>Sousse (année)</t>
  </si>
  <si>
    <t>Sfax (année)</t>
  </si>
  <si>
    <t>Kairouan (année)</t>
  </si>
  <si>
    <t>Comparaison avec d'autres communes tunisiennes (MWh / habitant)</t>
  </si>
  <si>
    <t xml:space="preserve">Modèle pour l'Inventaire de Référence des Emissions en Tunisie </t>
  </si>
  <si>
    <t xml:space="preserve">Eclairage public </t>
  </si>
  <si>
    <t>Emissions finales (téCO2)</t>
  </si>
  <si>
    <t>Cellules d'entrée pour la Commune</t>
  </si>
  <si>
    <t>Valeur pouvant être remplacée</t>
  </si>
  <si>
    <t>Ce modèle simplifié a été développé afin de soutenir les commues tunisiennes dans la réalisation de leur inventaire de référence des émissions (IRE). L’utilisateur devra insérer les données demandées dans les cellules d'entrée, indiquées en couleur jaune foncé. Les calculs des consommations des secteurs respectifs, converties selon les unités requises, sont générés automatiquement. 
Veuillez noter que cette approche simplifiée de calcul devra être validée via une analyse approfondie des données par un spécialiste des inventaires de gaz à effet de serre</t>
  </si>
  <si>
    <t>2-Données générales</t>
  </si>
  <si>
    <t>3-Commune</t>
  </si>
  <si>
    <t>4-Secteur privé</t>
  </si>
  <si>
    <t>5-Transport</t>
  </si>
  <si>
    <t>6-Traitement des eaux usées</t>
  </si>
  <si>
    <t>7-IRE</t>
  </si>
  <si>
    <t>Résultats générés par les calculs
(à ne pas toucher)</t>
  </si>
  <si>
    <t>Kérosène (pétrole lampant)</t>
  </si>
  <si>
    <t>MWh/m3</t>
  </si>
  <si>
    <t xml:space="preserve">4. Facteur de conversion </t>
  </si>
  <si>
    <t>5. Facteurs d'émission</t>
  </si>
  <si>
    <t>Combustible</t>
  </si>
  <si>
    <t>téCO2</t>
  </si>
  <si>
    <t>Potentiel de Réchauffement Global des GES (PRG-GWP)</t>
  </si>
  <si>
    <t>La Municipalité</t>
  </si>
  <si>
    <t>Electricité Eclairage public</t>
  </si>
  <si>
    <t>Patrimoine Municipalité</t>
  </si>
  <si>
    <t>Litre</t>
  </si>
  <si>
    <t>Consommation énergétique de la Municipalité (MWh/ an)</t>
  </si>
  <si>
    <t>Emissions de GES de la Municipalité (téCO2/an)</t>
  </si>
  <si>
    <t>Bâtiments/ Installations</t>
  </si>
  <si>
    <t>Total (par source/ type d'installation)</t>
  </si>
  <si>
    <t>3. Résultats du calcul automatiques des émissions de GES</t>
  </si>
  <si>
    <r>
      <t xml:space="preserve"> Pourcentages de consommation d'énergie dans le </t>
    </r>
    <r>
      <rPr>
        <b/>
        <sz val="14"/>
        <color theme="5"/>
        <rFont val="Calibri"/>
        <family val="2"/>
        <scheme val="minor"/>
      </rPr>
      <t>secteur résidentiel</t>
    </r>
    <r>
      <rPr>
        <b/>
        <sz val="14"/>
        <color theme="0"/>
        <rFont val="Calibri"/>
        <family val="2"/>
        <charset val="161"/>
        <scheme val="minor"/>
      </rPr>
      <t xml:space="preserve"> par usage et par énergie</t>
    </r>
  </si>
  <si>
    <r>
      <t xml:space="preserve">T.2. </t>
    </r>
    <r>
      <rPr>
        <b/>
        <sz val="14"/>
        <color theme="7" tint="-0.499984740745262"/>
        <rFont val="Calibri"/>
        <family val="2"/>
        <charset val="161"/>
        <scheme val="minor"/>
      </rPr>
      <t xml:space="preserve"> Veuillez </t>
    </r>
    <r>
      <rPr>
        <b/>
        <sz val="14"/>
        <color rgb="FFFF6600"/>
        <rFont val="Calibri"/>
        <family val="2"/>
        <scheme val="minor"/>
      </rPr>
      <t>insérer</t>
    </r>
    <r>
      <rPr>
        <b/>
        <sz val="14"/>
        <color theme="7" tint="-0.499984740745262"/>
        <rFont val="Calibri"/>
        <family val="2"/>
        <charset val="161"/>
        <scheme val="minor"/>
      </rPr>
      <t xml:space="preserve"> le nombre total des Hamams et autres </t>
    </r>
    <r>
      <rPr>
        <b/>
        <sz val="14"/>
        <color theme="7" tint="-0.249977111117893"/>
        <rFont val="Calibri"/>
        <family val="2"/>
        <scheme val="minor"/>
      </rPr>
      <t>(Secteur tertiaire)</t>
    </r>
  </si>
  <si>
    <t>Pétrole lampant</t>
  </si>
  <si>
    <r>
      <t>T.1.</t>
    </r>
    <r>
      <rPr>
        <b/>
        <sz val="12"/>
        <color theme="1" tint="0.499984740745262"/>
        <rFont val="Calibri"/>
        <family val="2"/>
        <scheme val="minor"/>
      </rPr>
      <t xml:space="preserve"> </t>
    </r>
    <r>
      <rPr>
        <b/>
        <sz val="14"/>
        <color theme="1" tint="0.499984740745262"/>
        <rFont val="Calibri"/>
        <family val="2"/>
        <scheme val="minor"/>
      </rPr>
      <t xml:space="preserve">Veuillez </t>
    </r>
    <r>
      <rPr>
        <b/>
        <sz val="14"/>
        <color rgb="FFFF6600"/>
        <rFont val="Calibri"/>
        <family val="2"/>
        <scheme val="minor"/>
      </rPr>
      <t>insérer (si disponible)</t>
    </r>
    <r>
      <rPr>
        <b/>
        <sz val="14"/>
        <color theme="1" tint="0.499984740745262"/>
        <rFont val="Calibri"/>
        <family val="2"/>
        <scheme val="minor"/>
      </rPr>
      <t xml:space="preserve"> la consommation d'électricité pour chaque branche du </t>
    </r>
    <r>
      <rPr>
        <b/>
        <sz val="14"/>
        <color theme="7" tint="-0.249977111117893"/>
        <rFont val="Calibri"/>
        <family val="2"/>
        <scheme val="minor"/>
      </rPr>
      <t>secteur tertiaire</t>
    </r>
  </si>
  <si>
    <t xml:space="preserve"> Pourcentages par branche et par combustible</t>
  </si>
  <si>
    <t>Etablissements</t>
  </si>
  <si>
    <t>Fuel</t>
  </si>
  <si>
    <t>Gasoil</t>
  </si>
  <si>
    <t>Charbon  minéral</t>
  </si>
  <si>
    <t>Comparaison avec d'autres municipalités tunisiennes (MWh/habitant)</t>
  </si>
  <si>
    <t>Sousse</t>
  </si>
  <si>
    <t>Sfax</t>
  </si>
  <si>
    <t>Kairouan</t>
  </si>
  <si>
    <t>Charbon minéral</t>
  </si>
  <si>
    <r>
      <t xml:space="preserve">Estim. GPL. Consommation  </t>
    </r>
    <r>
      <rPr>
        <sz val="11"/>
        <color theme="5"/>
        <rFont val="Calibri"/>
        <family val="2"/>
        <charset val="161"/>
        <scheme val="minor"/>
      </rPr>
      <t xml:space="preserve">Residentiel </t>
    </r>
    <r>
      <rPr>
        <sz val="11"/>
        <color theme="1"/>
        <rFont val="Calibri"/>
        <family val="2"/>
        <charset val="161"/>
        <scheme val="minor"/>
      </rPr>
      <t>(basée sur les percentages)</t>
    </r>
  </si>
  <si>
    <r>
      <t xml:space="preserve">Estim. GPL Consommation </t>
    </r>
    <r>
      <rPr>
        <sz val="11"/>
        <color theme="7" tint="-0.499984740745262"/>
        <rFont val="Calibri"/>
        <family val="2"/>
        <charset val="161"/>
        <scheme val="minor"/>
      </rPr>
      <t>Tertiaire  (basée sur les percentages)</t>
    </r>
  </si>
  <si>
    <r>
      <t xml:space="preserve">GPL Consommation </t>
    </r>
    <r>
      <rPr>
        <b/>
        <sz val="11"/>
        <color theme="7" tint="-0.499984740745262"/>
        <rFont val="Calibri"/>
        <family val="2"/>
        <charset val="161"/>
        <scheme val="minor"/>
      </rPr>
      <t>Tertiare</t>
    </r>
  </si>
  <si>
    <r>
      <t>Estim. GPL Consommation de</t>
    </r>
    <r>
      <rPr>
        <sz val="11"/>
        <color rgb="FFFF6600"/>
        <rFont val="Calibri"/>
        <family val="2"/>
        <scheme val="minor"/>
      </rPr>
      <t xml:space="preserve"> lindustrie</t>
    </r>
  </si>
  <si>
    <r>
      <t>GPL Consommation de l'</t>
    </r>
    <r>
      <rPr>
        <b/>
        <sz val="11"/>
        <color rgb="FFFF6600"/>
        <rFont val="Calibri"/>
        <family val="2"/>
        <charset val="161"/>
        <scheme val="minor"/>
      </rPr>
      <t>Industrie</t>
    </r>
  </si>
  <si>
    <t>Consommation  de
Coke de pétrole</t>
  </si>
  <si>
    <t>Consommation
Charbon minéral</t>
  </si>
  <si>
    <t>Estim.consommation de gaz naturel du résidentiel</t>
  </si>
  <si>
    <r>
      <t>Estim.consommation de gaz naturel du résidentiel</t>
    </r>
    <r>
      <rPr>
        <sz val="11"/>
        <color rgb="FFFF6600"/>
        <rFont val="Calibri"/>
        <family val="2"/>
        <charset val="161"/>
        <scheme val="minor"/>
      </rPr>
      <t xml:space="preserve">  </t>
    </r>
    <r>
      <rPr>
        <sz val="11"/>
        <color theme="1"/>
        <rFont val="Calibri"/>
        <family val="2"/>
        <charset val="161"/>
        <scheme val="minor"/>
      </rPr>
      <t>(basée sur les percentages)</t>
    </r>
  </si>
  <si>
    <t>Consommation de gaz naturel du résidentiel</t>
  </si>
  <si>
    <r>
      <t xml:space="preserve">Estim.consommation de gaz naturel </t>
    </r>
    <r>
      <rPr>
        <sz val="11"/>
        <color rgb="FFFF6600"/>
        <rFont val="Calibri"/>
        <family val="2"/>
        <scheme val="minor"/>
      </rPr>
      <t>du tertiaire</t>
    </r>
  </si>
  <si>
    <r>
      <t>Estim.consommation de gaz naturel</t>
    </r>
    <r>
      <rPr>
        <sz val="11"/>
        <color rgb="FFFF9900"/>
        <rFont val="Calibri"/>
        <family val="2"/>
        <scheme val="minor"/>
      </rPr>
      <t xml:space="preserve"> </t>
    </r>
    <r>
      <rPr>
        <b/>
        <sz val="11"/>
        <color rgb="FFFF9900"/>
        <rFont val="Calibri"/>
        <family val="2"/>
        <scheme val="minor"/>
      </rPr>
      <t>du tertiaire</t>
    </r>
    <r>
      <rPr>
        <sz val="11"/>
        <color rgb="FFFF6600"/>
        <rFont val="Calibri"/>
        <family val="2"/>
        <charset val="161"/>
        <scheme val="minor"/>
      </rPr>
      <t xml:space="preserve">  </t>
    </r>
    <r>
      <rPr>
        <sz val="11"/>
        <color theme="1"/>
        <rFont val="Calibri"/>
        <family val="2"/>
        <charset val="161"/>
        <scheme val="minor"/>
      </rPr>
      <t>(basée sur les percentages)</t>
    </r>
  </si>
  <si>
    <r>
      <t xml:space="preserve">Consommation de gaz naturel de </t>
    </r>
    <r>
      <rPr>
        <sz val="11"/>
        <color rgb="FFFF6600"/>
        <rFont val="Calibri"/>
        <family val="2"/>
        <scheme val="minor"/>
      </rPr>
      <t>l'Industrie</t>
    </r>
  </si>
  <si>
    <r>
      <t xml:space="preserve">Consommation de gaz naturel </t>
    </r>
    <r>
      <rPr>
        <b/>
        <sz val="11"/>
        <color rgb="FFFF9900"/>
        <rFont val="Calibri"/>
        <family val="2"/>
        <scheme val="minor"/>
      </rPr>
      <t>du tertiaire</t>
    </r>
  </si>
  <si>
    <r>
      <t xml:space="preserve">Estim. Consommation de charbon de  </t>
    </r>
    <r>
      <rPr>
        <sz val="11"/>
        <color rgb="FFFF6600"/>
        <rFont val="Calibri"/>
        <family val="2"/>
        <scheme val="minor"/>
      </rPr>
      <t>l'Industrie</t>
    </r>
    <r>
      <rPr>
        <sz val="11"/>
        <color rgb="FFFF6600"/>
        <rFont val="Calibri"/>
        <family val="2"/>
        <charset val="161"/>
        <scheme val="minor"/>
      </rPr>
      <t xml:space="preserve">  </t>
    </r>
    <r>
      <rPr>
        <sz val="11"/>
        <color theme="1"/>
        <rFont val="Calibri"/>
        <family val="2"/>
        <charset val="161"/>
        <scheme val="minor"/>
      </rPr>
      <t>(basée sur les percentages)</t>
    </r>
  </si>
  <si>
    <t xml:space="preserve"> Consommation 
Pétrole lampant</t>
  </si>
  <si>
    <t>Estim.consommation de pétrole lampant du résidentiel</t>
  </si>
  <si>
    <r>
      <t>Estim.consommation de pétrole lampant  du résidentiel</t>
    </r>
    <r>
      <rPr>
        <sz val="11"/>
        <color rgb="FFFF6600"/>
        <rFont val="Calibri"/>
        <family val="2"/>
        <charset val="161"/>
        <scheme val="minor"/>
      </rPr>
      <t xml:space="preserve">  </t>
    </r>
    <r>
      <rPr>
        <sz val="11"/>
        <color theme="1"/>
        <rFont val="Calibri"/>
        <family val="2"/>
        <charset val="161"/>
        <scheme val="minor"/>
      </rPr>
      <t>(basée sur les percentages)</t>
    </r>
  </si>
  <si>
    <t>Consommation de pétrole lampant du résidentiel</t>
  </si>
  <si>
    <r>
      <t xml:space="preserve">Estim.consommation de pétrole lampant  </t>
    </r>
    <r>
      <rPr>
        <sz val="11"/>
        <color rgb="FFFF6600"/>
        <rFont val="Calibri"/>
        <family val="2"/>
        <scheme val="minor"/>
      </rPr>
      <t>du tertiaire</t>
    </r>
  </si>
  <si>
    <r>
      <t xml:space="preserve">Estim.consommation de de pétrole lampant </t>
    </r>
    <r>
      <rPr>
        <sz val="11"/>
        <color rgb="FFFF9900"/>
        <rFont val="Calibri"/>
        <family val="2"/>
        <scheme val="minor"/>
      </rPr>
      <t xml:space="preserve"> </t>
    </r>
    <r>
      <rPr>
        <b/>
        <sz val="11"/>
        <color rgb="FFFF9900"/>
        <rFont val="Calibri"/>
        <family val="2"/>
        <scheme val="minor"/>
      </rPr>
      <t>du tertiaire</t>
    </r>
    <r>
      <rPr>
        <sz val="11"/>
        <color rgb="FFFF6600"/>
        <rFont val="Calibri"/>
        <family val="2"/>
        <charset val="161"/>
        <scheme val="minor"/>
      </rPr>
      <t xml:space="preserve">  </t>
    </r>
    <r>
      <rPr>
        <sz val="11"/>
        <color theme="1"/>
        <rFont val="Calibri"/>
        <family val="2"/>
        <charset val="161"/>
        <scheme val="minor"/>
      </rPr>
      <t>(basée sur les percentages)</t>
    </r>
  </si>
  <si>
    <r>
      <t xml:space="preserve">Consommation de de pétrole lampant  </t>
    </r>
    <r>
      <rPr>
        <b/>
        <sz val="11"/>
        <color rgb="FFFF9900"/>
        <rFont val="Calibri"/>
        <family val="2"/>
        <scheme val="minor"/>
      </rPr>
      <t>du tertiaire</t>
    </r>
  </si>
  <si>
    <t>Consommation
Gasoil</t>
  </si>
  <si>
    <r>
      <t xml:space="preserve">Estim. Consommation de gasoil de </t>
    </r>
    <r>
      <rPr>
        <sz val="11"/>
        <color rgb="FFFF6600"/>
        <rFont val="Calibri"/>
        <family val="2"/>
        <scheme val="minor"/>
      </rPr>
      <t>l'Industrie</t>
    </r>
    <r>
      <rPr>
        <sz val="11"/>
        <color theme="1"/>
        <rFont val="Calibri"/>
        <family val="2"/>
        <charset val="161"/>
        <scheme val="minor"/>
      </rPr>
      <t xml:space="preserve"> </t>
    </r>
  </si>
  <si>
    <r>
      <t xml:space="preserve">Estim. Consommation de gasoil de  </t>
    </r>
    <r>
      <rPr>
        <sz val="11"/>
        <color rgb="FFFF6600"/>
        <rFont val="Calibri"/>
        <family val="2"/>
        <scheme val="minor"/>
      </rPr>
      <t>l'Industrie</t>
    </r>
    <r>
      <rPr>
        <sz val="11"/>
        <color rgb="FFFF6600"/>
        <rFont val="Calibri"/>
        <family val="2"/>
        <charset val="161"/>
        <scheme val="minor"/>
      </rPr>
      <t xml:space="preserve">  </t>
    </r>
    <r>
      <rPr>
        <sz val="11"/>
        <color theme="1"/>
        <rFont val="Calibri"/>
        <family val="2"/>
        <charset val="161"/>
        <scheme val="minor"/>
      </rPr>
      <t>(basée sur les percentages)</t>
    </r>
  </si>
  <si>
    <r>
      <t xml:space="preserve">Consommation de gasoil de </t>
    </r>
    <r>
      <rPr>
        <sz val="11"/>
        <color rgb="FFFF6600"/>
        <rFont val="Calibri"/>
        <family val="2"/>
        <scheme val="minor"/>
      </rPr>
      <t>l'Industrie</t>
    </r>
  </si>
  <si>
    <r>
      <t xml:space="preserve">Consommation de charbon de </t>
    </r>
    <r>
      <rPr>
        <sz val="11"/>
        <color rgb="FFFF6600"/>
        <rFont val="Calibri"/>
        <family val="2"/>
        <scheme val="minor"/>
      </rPr>
      <t>l'Industrie</t>
    </r>
  </si>
  <si>
    <r>
      <t xml:space="preserve">Consommation de bois de </t>
    </r>
    <r>
      <rPr>
        <b/>
        <sz val="11"/>
        <color theme="5"/>
        <rFont val="Calibri"/>
        <family val="2"/>
        <charset val="161"/>
        <scheme val="minor"/>
      </rPr>
      <t xml:space="preserve"> </t>
    </r>
    <r>
      <rPr>
        <b/>
        <sz val="11"/>
        <color theme="7" tint="-0.499984740745262"/>
        <rFont val="Calibri"/>
        <family val="2"/>
        <charset val="161"/>
        <scheme val="minor"/>
      </rPr>
      <t>Tertiaire</t>
    </r>
  </si>
  <si>
    <r>
      <t>Solaire thermique du</t>
    </r>
    <r>
      <rPr>
        <b/>
        <sz val="11"/>
        <color theme="5"/>
        <rFont val="Calibri"/>
        <family val="2"/>
        <charset val="161"/>
        <scheme val="minor"/>
      </rPr>
      <t xml:space="preserve"> Residentiel</t>
    </r>
  </si>
  <si>
    <r>
      <rPr>
        <sz val="11"/>
        <color theme="1"/>
        <rFont val="Calibri"/>
        <family val="2"/>
        <charset val="161"/>
        <scheme val="minor"/>
      </rPr>
      <t>Est. Consommation de bois de</t>
    </r>
    <r>
      <rPr>
        <b/>
        <sz val="11"/>
        <color theme="1"/>
        <rFont val="Calibri"/>
        <family val="2"/>
        <charset val="161"/>
        <scheme val="minor"/>
      </rPr>
      <t xml:space="preserve"> </t>
    </r>
    <r>
      <rPr>
        <b/>
        <sz val="11"/>
        <color theme="5"/>
        <rFont val="Calibri"/>
        <family val="2"/>
        <charset val="161"/>
        <scheme val="minor"/>
      </rPr>
      <t xml:space="preserve"> </t>
    </r>
    <r>
      <rPr>
        <b/>
        <sz val="11"/>
        <color theme="7" tint="-0.499984740745262"/>
        <rFont val="Calibri"/>
        <family val="2"/>
        <charset val="161"/>
        <scheme val="minor"/>
      </rPr>
      <t>Résidentiel</t>
    </r>
  </si>
  <si>
    <r>
      <t xml:space="preserve">Consommation de bois de </t>
    </r>
    <r>
      <rPr>
        <b/>
        <sz val="11"/>
        <color theme="5"/>
        <rFont val="Calibri"/>
        <family val="2"/>
        <charset val="161"/>
        <scheme val="minor"/>
      </rPr>
      <t xml:space="preserve"> </t>
    </r>
    <r>
      <rPr>
        <b/>
        <sz val="11"/>
        <color theme="7" tint="-0.499984740745262"/>
        <rFont val="Calibri"/>
        <family val="2"/>
        <charset val="161"/>
        <scheme val="minor"/>
      </rPr>
      <t>Résidentiel</t>
    </r>
  </si>
  <si>
    <t>CO2 Emissions (téCO2/an)</t>
  </si>
  <si>
    <t>Type d'énergie</t>
  </si>
  <si>
    <t>1. Veuillez insérer le nombre de véhicules publics dans la commune. En cas de mise à jour des données pour les distances et les consommations, veuillez les remplacer.</t>
  </si>
  <si>
    <t>Facteurs d'émission d'énergie (téCO2/GWh)</t>
  </si>
  <si>
    <t>Consommation d'essence totale (Privé &amp; Public)</t>
  </si>
  <si>
    <t>litre</t>
  </si>
  <si>
    <t xml:space="preserve">Consommations de gaz naturel </t>
  </si>
  <si>
    <t>Biomasse</t>
  </si>
  <si>
    <r>
      <t xml:space="preserve"> Pourcentages de consommation d'énergie dans le </t>
    </r>
    <r>
      <rPr>
        <b/>
        <sz val="14"/>
        <color theme="5"/>
        <rFont val="Calibri"/>
        <family val="2"/>
        <scheme val="minor"/>
      </rPr>
      <t xml:space="preserve">secteur résidentiel </t>
    </r>
    <r>
      <rPr>
        <b/>
        <sz val="14"/>
        <color theme="0"/>
        <rFont val="Calibri"/>
        <family val="2"/>
        <charset val="161"/>
        <scheme val="minor"/>
      </rPr>
      <t>par usage et par carburant (moyenne nationale)</t>
    </r>
  </si>
  <si>
    <t>Réfrigérateur</t>
  </si>
  <si>
    <t>TV</t>
  </si>
  <si>
    <t>Fuel Domestique</t>
  </si>
  <si>
    <t>Source: Enquêtes résidentielles STEG 2009</t>
  </si>
  <si>
    <t>Services</t>
  </si>
  <si>
    <t>Pompage</t>
  </si>
  <si>
    <t>Hôtels et restaurants (Tourisme)</t>
  </si>
  <si>
    <t>Source : IRE sfax, sousse et kairouan (2010)</t>
  </si>
  <si>
    <t>Solaire Thermique</t>
  </si>
  <si>
    <r>
      <t xml:space="preserve"> Pourcentages de consommation d'énergie dans le  secteur Tertiaire par branche et par combustible (données moyenne d'une ou de deux villes parmi (</t>
    </r>
    <r>
      <rPr>
        <b/>
        <sz val="16"/>
        <color rgb="FFFF0000"/>
        <rFont val="Calibri"/>
        <family val="2"/>
        <charset val="161"/>
        <scheme val="minor"/>
      </rPr>
      <t>Sousse, Sfax , Kairouan</t>
    </r>
    <r>
      <rPr>
        <b/>
        <sz val="16"/>
        <color theme="0"/>
        <rFont val="Calibri"/>
        <family val="2"/>
        <charset val="161"/>
        <scheme val="minor"/>
      </rPr>
      <t xml:space="preserve">) </t>
    </r>
  </si>
  <si>
    <r>
      <t xml:space="preserve"> Pourcentages de consommation d'énergie dans le  </t>
    </r>
    <r>
      <rPr>
        <b/>
        <sz val="18"/>
        <color theme="7" tint="-0.249977111117893"/>
        <rFont val="Calibri"/>
        <family val="2"/>
        <charset val="161"/>
        <scheme val="minor"/>
      </rPr>
      <t>secteur Tertiaire</t>
    </r>
    <r>
      <rPr>
        <b/>
        <sz val="18"/>
        <color theme="0"/>
        <rFont val="Calibri"/>
        <family val="2"/>
        <charset val="161"/>
        <scheme val="minor"/>
      </rPr>
      <t xml:space="preserve"> par branche et par type d'énergie</t>
    </r>
  </si>
  <si>
    <t>Sidérurgie</t>
  </si>
  <si>
    <t>Métaux non ferraux</t>
  </si>
  <si>
    <t>Produits minéraux non métalliques</t>
  </si>
  <si>
    <t>Exctraction</t>
  </si>
  <si>
    <t>Alimentation, boisson, tabac</t>
  </si>
  <si>
    <t>Textiles, cuir, habillement</t>
  </si>
  <si>
    <t>Papier et imprimerie</t>
  </si>
  <si>
    <t>Fabrication métallique</t>
  </si>
  <si>
    <t>Autres industriels</t>
  </si>
  <si>
    <r>
      <t xml:space="preserve">pourcentages selectionnés de consommation d'énergie  dans </t>
    </r>
    <r>
      <rPr>
        <b/>
        <sz val="16"/>
        <color rgb="FFFF6600"/>
        <rFont val="Calibri"/>
        <family val="2"/>
        <charset val="161"/>
        <scheme val="minor"/>
      </rPr>
      <t>l'industrie</t>
    </r>
    <r>
      <rPr>
        <b/>
        <sz val="16"/>
        <color theme="0"/>
        <rFont val="Calibri"/>
        <family val="2"/>
        <charset val="161"/>
        <scheme val="minor"/>
      </rPr>
      <t xml:space="preserve"> par secteur et par combustible (moyenne nationale 2015)</t>
    </r>
  </si>
  <si>
    <t>(source: Bilan National de la Tunisie 2015)</t>
  </si>
  <si>
    <t>kérosene(pétrole lampant) (MWh)</t>
  </si>
  <si>
    <t>kérosene(pétrole lampant) (ktoe)</t>
  </si>
  <si>
    <t>oui</t>
  </si>
  <si>
    <r>
      <t xml:space="preserve">Consommez-vous du </t>
    </r>
    <r>
      <rPr>
        <b/>
        <sz val="14"/>
        <color theme="1"/>
        <rFont val="Calibri"/>
        <family val="2"/>
        <scheme val="minor"/>
      </rPr>
      <t>gaz naturel</t>
    </r>
    <r>
      <rPr>
        <sz val="12"/>
        <color theme="1"/>
        <rFont val="Calibri"/>
        <family val="2"/>
        <charset val="161"/>
        <scheme val="minor"/>
      </rPr>
      <t xml:space="preserve"> dans le secteur industriel?</t>
    </r>
  </si>
  <si>
    <r>
      <t>Consommez-vous du</t>
    </r>
    <r>
      <rPr>
        <b/>
        <sz val="14"/>
        <color theme="1"/>
        <rFont val="Calibri"/>
        <family val="2"/>
        <scheme val="minor"/>
      </rPr>
      <t xml:space="preserve"> pétcoke</t>
    </r>
    <r>
      <rPr>
        <sz val="12"/>
        <color theme="1"/>
        <rFont val="Calibri"/>
        <family val="2"/>
        <charset val="161"/>
        <scheme val="minor"/>
      </rPr>
      <t xml:space="preserve"> dans le secteur industriel?</t>
    </r>
  </si>
  <si>
    <r>
      <t xml:space="preserve">Consommez-vous du </t>
    </r>
    <r>
      <rPr>
        <b/>
        <sz val="14"/>
        <color theme="1"/>
        <rFont val="Calibri"/>
        <family val="2"/>
        <scheme val="minor"/>
      </rPr>
      <t>gaz naturel</t>
    </r>
    <r>
      <rPr>
        <sz val="12"/>
        <color theme="1"/>
        <rFont val="Calibri"/>
        <family val="2"/>
        <charset val="161"/>
        <scheme val="minor"/>
      </rPr>
      <t xml:space="preserve"> dans le secteur tertiaire?</t>
    </r>
  </si>
  <si>
    <r>
      <t xml:space="preserve">Consommez-vous du </t>
    </r>
    <r>
      <rPr>
        <b/>
        <sz val="14"/>
        <color theme="1"/>
        <rFont val="Calibri"/>
        <family val="2"/>
        <scheme val="minor"/>
      </rPr>
      <t>gaz naturel</t>
    </r>
    <r>
      <rPr>
        <sz val="12"/>
        <color theme="1"/>
        <rFont val="Calibri"/>
        <family val="2"/>
        <charset val="161"/>
        <scheme val="minor"/>
      </rPr>
      <t xml:space="preserve"> dans le secteur résidentiel?</t>
    </r>
  </si>
  <si>
    <r>
      <t>Consommation d'</t>
    </r>
    <r>
      <rPr>
        <b/>
        <sz val="11"/>
        <color theme="1"/>
        <rFont val="Calibri"/>
        <family val="2"/>
        <scheme val="minor"/>
      </rPr>
      <t>essence</t>
    </r>
  </si>
  <si>
    <r>
      <t xml:space="preserve">Consommation de </t>
    </r>
    <r>
      <rPr>
        <b/>
        <sz val="11"/>
        <color theme="1"/>
        <rFont val="Calibri"/>
        <family val="2"/>
        <scheme val="minor"/>
      </rPr>
      <t>GPL</t>
    </r>
  </si>
  <si>
    <t>Est. Consommation du GPL (Privé &amp; Public)</t>
  </si>
  <si>
    <t>Consommation totale du GPL(Privé &amp; Public)</t>
  </si>
  <si>
    <t>Consommation diesel (l/100km)</t>
  </si>
  <si>
    <t xml:space="preserve">Valeur </t>
  </si>
  <si>
    <t>(Source: ONAS)</t>
  </si>
  <si>
    <t xml:space="preserve">Gestion des déchets </t>
  </si>
  <si>
    <t>Gestion des déchets</t>
  </si>
  <si>
    <r>
      <rPr>
        <b/>
        <sz val="10"/>
        <color theme="1"/>
        <rFont val="Calibri"/>
        <family val="2"/>
        <scheme val="minor"/>
      </rPr>
      <t>Source</t>
    </r>
    <r>
      <rPr>
        <sz val="10"/>
        <color theme="1"/>
        <rFont val="Calibri"/>
        <family val="2"/>
        <scheme val="minor"/>
      </rPr>
      <t>:Enquête Nationale sur
les Indicateurs d’Efficacité
Energétique dans le secteur
du Transport Routier 2014</t>
    </r>
  </si>
  <si>
    <t>Consommation d'électricité dans le transport communal (ligne métro..)</t>
  </si>
  <si>
    <t>Société qui gère le transport communal</t>
  </si>
  <si>
    <r>
      <t>Consommation d</t>
    </r>
    <r>
      <rPr>
        <b/>
        <sz val="11"/>
        <rFont val="Calibri"/>
        <family val="2"/>
        <scheme val="minor"/>
      </rPr>
      <t>'électricité</t>
    </r>
  </si>
  <si>
    <t>Est. Consommation d'électricité dans le transport communal (ligne métro..)</t>
  </si>
  <si>
    <t>Sousse (2010)</t>
  </si>
  <si>
    <t>Sfax (2010)</t>
  </si>
  <si>
    <t>Kairouan (2010)</t>
  </si>
  <si>
    <t>Contrôle de cohérence avec le  cas de la France</t>
  </si>
  <si>
    <r>
      <t xml:space="preserve">Consommez-vous du </t>
    </r>
    <r>
      <rPr>
        <b/>
        <sz val="14"/>
        <color theme="1"/>
        <rFont val="Calibri"/>
        <family val="2"/>
        <charset val="161"/>
        <scheme val="minor"/>
      </rPr>
      <t xml:space="preserve">GPL </t>
    </r>
    <r>
      <rPr>
        <sz val="14"/>
        <color theme="1"/>
        <rFont val="Calibri"/>
        <family val="2"/>
        <charset val="161"/>
        <scheme val="minor"/>
      </rPr>
      <t>dans le secteur du Transport?</t>
    </r>
  </si>
  <si>
    <r>
      <t xml:space="preserve">Consommez-vous de </t>
    </r>
    <r>
      <rPr>
        <b/>
        <sz val="14"/>
        <color theme="1"/>
        <rFont val="Calibri"/>
        <family val="2"/>
        <charset val="161"/>
        <scheme val="minor"/>
      </rPr>
      <t xml:space="preserve">l'électricité </t>
    </r>
    <r>
      <rPr>
        <sz val="14"/>
        <color theme="1"/>
        <rFont val="Calibri"/>
        <family val="2"/>
        <charset val="161"/>
        <scheme val="minor"/>
      </rPr>
      <t>dans le secteur du Transport communal?</t>
    </r>
  </si>
  <si>
    <t>Gasoil (ktonnes)</t>
  </si>
  <si>
    <t>Fuel oil (ktonnes)</t>
  </si>
  <si>
    <t>Fuel oil</t>
  </si>
  <si>
    <t>Gasoil (MWh)</t>
  </si>
  <si>
    <t>Gasoline/essence (ktonnes)</t>
  </si>
  <si>
    <t>Gasoline/essence (MWh)</t>
  </si>
  <si>
    <t>Fuel oil (MWh)</t>
  </si>
  <si>
    <t>Consommations du Gasoil</t>
  </si>
  <si>
    <r>
      <t xml:space="preserve">Electricité </t>
    </r>
    <r>
      <rPr>
        <sz val="12"/>
        <color theme="5"/>
        <rFont val="Calibri"/>
        <family val="2"/>
        <scheme val="minor"/>
      </rPr>
      <t xml:space="preserve">Bâtiments </t>
    </r>
  </si>
  <si>
    <r>
      <t xml:space="preserve">Electricité </t>
    </r>
    <r>
      <rPr>
        <sz val="12"/>
        <color theme="7" tint="-0.249977111117893"/>
        <rFont val="Calibri"/>
        <family val="2"/>
        <scheme val="minor"/>
      </rPr>
      <t>installations(pompage)</t>
    </r>
  </si>
  <si>
    <r>
      <t xml:space="preserve">Consommations de GPL </t>
    </r>
    <r>
      <rPr>
        <sz val="12"/>
        <color theme="5"/>
        <rFont val="Calibri"/>
        <family val="2"/>
        <scheme val="minor"/>
      </rPr>
      <t>Bâtiments</t>
    </r>
  </si>
  <si>
    <r>
      <t xml:space="preserve">Consommations de GPL </t>
    </r>
    <r>
      <rPr>
        <sz val="12"/>
        <color theme="7" tint="-0.499984740745262"/>
        <rFont val="Calibri"/>
        <family val="2"/>
        <scheme val="minor"/>
      </rPr>
      <t>Equipements</t>
    </r>
  </si>
  <si>
    <r>
      <t xml:space="preserve">Consommations de GPL </t>
    </r>
    <r>
      <rPr>
        <sz val="12"/>
        <color rgb="FFFF6600"/>
        <rFont val="Calibri"/>
        <family val="2"/>
        <scheme val="minor"/>
      </rPr>
      <t>Flotte communale</t>
    </r>
  </si>
  <si>
    <r>
      <t xml:space="preserve">Consommations d'essence </t>
    </r>
    <r>
      <rPr>
        <sz val="12"/>
        <color theme="5"/>
        <rFont val="Calibri"/>
        <family val="2"/>
        <scheme val="minor"/>
      </rPr>
      <t>Bâtiments</t>
    </r>
  </si>
  <si>
    <r>
      <t xml:space="preserve">Consommations d'essence </t>
    </r>
    <r>
      <rPr>
        <sz val="12"/>
        <color rgb="FFFF6600"/>
        <rFont val="Calibri"/>
        <family val="2"/>
        <scheme val="minor"/>
      </rPr>
      <t>Flotte communale</t>
    </r>
  </si>
  <si>
    <r>
      <t>Consommations d'essence</t>
    </r>
    <r>
      <rPr>
        <sz val="12"/>
        <color rgb="FF7030A0"/>
        <rFont val="Calibri"/>
        <family val="2"/>
        <scheme val="minor"/>
      </rPr>
      <t xml:space="preserve"> Transport des déchets</t>
    </r>
  </si>
  <si>
    <r>
      <t xml:space="preserve">Consommation de gaz naturel </t>
    </r>
    <r>
      <rPr>
        <sz val="12"/>
        <color theme="4" tint="0.39997558519241921"/>
        <rFont val="Calibri"/>
        <family val="2"/>
        <scheme val="minor"/>
      </rPr>
      <t>Bâtiments / équipements</t>
    </r>
  </si>
  <si>
    <r>
      <t xml:space="preserve">Consommations du Gasoil </t>
    </r>
    <r>
      <rPr>
        <sz val="12"/>
        <color theme="5"/>
        <rFont val="Calibri"/>
        <family val="2"/>
        <scheme val="minor"/>
      </rPr>
      <t>Bâtiments</t>
    </r>
  </si>
  <si>
    <r>
      <t>Consommations du Gasoil</t>
    </r>
    <r>
      <rPr>
        <sz val="12"/>
        <color rgb="FFFF6600"/>
        <rFont val="Calibri"/>
        <family val="2"/>
        <scheme val="minor"/>
      </rPr>
      <t xml:space="preserve"> Flotte communale</t>
    </r>
  </si>
  <si>
    <r>
      <t xml:space="preserve">Consommations du Gasoil </t>
    </r>
    <r>
      <rPr>
        <sz val="12"/>
        <color rgb="FF7030A0"/>
        <rFont val="Calibri"/>
        <family val="2"/>
        <scheme val="minor"/>
      </rPr>
      <t>Transport des déchets</t>
    </r>
  </si>
  <si>
    <t>Fuel Oil</t>
  </si>
  <si>
    <t>Consommation de Fuel oil</t>
  </si>
  <si>
    <r>
      <t xml:space="preserve">Estim.  consommation du fuel oil de </t>
    </r>
    <r>
      <rPr>
        <sz val="11"/>
        <color rgb="FFFF6600"/>
        <rFont val="Calibri"/>
        <family val="2"/>
        <scheme val="minor"/>
      </rPr>
      <t>l'industrie</t>
    </r>
  </si>
  <si>
    <r>
      <t>Estim. consommation du fuel oil de</t>
    </r>
    <r>
      <rPr>
        <sz val="11"/>
        <color rgb="FFFF6600"/>
        <rFont val="Calibri"/>
        <family val="2"/>
        <scheme val="minor"/>
      </rPr>
      <t xml:space="preserve"> l'industrie </t>
    </r>
    <r>
      <rPr>
        <sz val="11"/>
        <color theme="1"/>
        <rFont val="Calibri"/>
        <family val="2"/>
        <charset val="161"/>
        <scheme val="minor"/>
      </rPr>
      <t>(basée sur les percentages)</t>
    </r>
  </si>
  <si>
    <r>
      <t xml:space="preserve">Consommation du fuel oil de </t>
    </r>
    <r>
      <rPr>
        <sz val="12"/>
        <color rgb="FFFFC000"/>
        <rFont val="Calibri"/>
        <family val="2"/>
        <scheme val="minor"/>
      </rPr>
      <t>l</t>
    </r>
    <r>
      <rPr>
        <sz val="12"/>
        <color rgb="FFFF6600"/>
        <rFont val="Calibri"/>
        <family val="2"/>
        <scheme val="minor"/>
      </rPr>
      <t>'industrie</t>
    </r>
  </si>
  <si>
    <t xml:space="preserve"> Consommation du Gaz naturel</t>
  </si>
  <si>
    <t>Est. Consommation du Gasoil (Privé et Publique)</t>
  </si>
  <si>
    <r>
      <t xml:space="preserve">Est.  Consommation du Gasoil (Basé sur des véhicules) </t>
    </r>
    <r>
      <rPr>
        <sz val="11"/>
        <color rgb="FFFF0000"/>
        <rFont val="Calibri"/>
        <family val="2"/>
        <scheme val="minor"/>
      </rPr>
      <t xml:space="preserve">publiques seulement </t>
    </r>
  </si>
  <si>
    <t>Consommation totales du Gasoil (Privé &amp; Public)</t>
  </si>
  <si>
    <r>
      <t xml:space="preserve">Consommation du </t>
    </r>
    <r>
      <rPr>
        <b/>
        <sz val="11"/>
        <color theme="1"/>
        <rFont val="Calibri"/>
        <family val="2"/>
        <scheme val="minor"/>
      </rPr>
      <t>Gasoil</t>
    </r>
  </si>
  <si>
    <r>
      <t>*</t>
    </r>
    <r>
      <rPr>
        <b/>
        <i/>
        <sz val="10"/>
        <color theme="1"/>
        <rFont val="Calibri"/>
        <family val="2"/>
        <scheme val="minor"/>
      </rPr>
      <t>Colonne K</t>
    </r>
    <r>
      <rPr>
        <i/>
        <sz val="10"/>
        <color theme="1"/>
        <rFont val="Calibri"/>
        <family val="2"/>
        <charset val="161"/>
        <scheme val="minor"/>
      </rPr>
      <t xml:space="preserve"> (Total) doit être égale à </t>
    </r>
    <r>
      <rPr>
        <b/>
        <i/>
        <sz val="10"/>
        <color theme="1"/>
        <rFont val="Calibri"/>
        <family val="2"/>
        <scheme val="minor"/>
      </rPr>
      <t>100%</t>
    </r>
  </si>
  <si>
    <t>*Colonne J  and Cellule B95 doivent être égale à 100%</t>
  </si>
  <si>
    <t>Agriculture</t>
  </si>
  <si>
    <t>L'agriculture fait partie des secteurs concernés par le bilan énergétique tunisien mais ne concerne pas l'Inventaire de référence d'émissions (IRE)</t>
  </si>
  <si>
    <t>Prière de vérifier que la cellule B17 et les cellules allant de J9 à J16 sont égales à 100 %</t>
  </si>
  <si>
    <t>Prière de vérifier que les cellules allant de J21 à J28 sont égales à 100 %</t>
  </si>
  <si>
    <t>Prière de vérifier que les cellules allant de J85 à J94 sont égales à 100 %</t>
  </si>
  <si>
    <r>
      <t xml:space="preserve">* La cellule </t>
    </r>
    <r>
      <rPr>
        <b/>
        <i/>
        <sz val="10"/>
        <color theme="1"/>
        <rFont val="Calibri"/>
        <family val="2"/>
        <scheme val="minor"/>
      </rPr>
      <t>B17</t>
    </r>
    <r>
      <rPr>
        <i/>
        <sz val="10"/>
        <color theme="1"/>
        <rFont val="Calibri"/>
        <family val="2"/>
        <charset val="161"/>
        <scheme val="minor"/>
      </rPr>
      <t xml:space="preserve"> et toutes les cellules de </t>
    </r>
    <r>
      <rPr>
        <b/>
        <i/>
        <sz val="10"/>
        <color theme="1"/>
        <rFont val="Calibri"/>
        <family val="2"/>
        <scheme val="minor"/>
      </rPr>
      <t>la colonne J</t>
    </r>
    <r>
      <rPr>
        <i/>
        <sz val="10"/>
        <color theme="1"/>
        <rFont val="Calibri"/>
        <family val="2"/>
        <charset val="161"/>
        <scheme val="minor"/>
      </rPr>
      <t xml:space="preserve"> et doivent être égales à </t>
    </r>
    <r>
      <rPr>
        <b/>
        <i/>
        <sz val="10"/>
        <color theme="1"/>
        <rFont val="Calibri"/>
        <family val="2"/>
        <scheme val="minor"/>
      </rPr>
      <t>100%</t>
    </r>
  </si>
  <si>
    <r>
      <t xml:space="preserve"> Pourcentage de consommation d'énergie  dans </t>
    </r>
    <r>
      <rPr>
        <b/>
        <sz val="14"/>
        <color rgb="FFFF6600"/>
        <rFont val="Calibri"/>
        <family val="2"/>
        <scheme val="minor"/>
      </rPr>
      <t xml:space="preserve">l'industrie </t>
    </r>
    <r>
      <rPr>
        <b/>
        <sz val="14"/>
        <color theme="0"/>
        <rFont val="Calibri"/>
        <family val="2"/>
        <charset val="161"/>
        <scheme val="minor"/>
      </rPr>
      <t>par secteur et par combustible</t>
    </r>
  </si>
  <si>
    <t>Energies fossiles</t>
  </si>
  <si>
    <t>Energies renouvelables</t>
  </si>
  <si>
    <t xml:space="preserve">Gasoil de chauffage </t>
  </si>
  <si>
    <t>Chaleur/
Froid</t>
  </si>
</sst>
</file>

<file path=xl/styles.xml><?xml version="1.0" encoding="utf-8"?>
<styleSheet xmlns="http://schemas.openxmlformats.org/spreadsheetml/2006/main">
  <numFmts count="11">
    <numFmt numFmtId="43" formatCode="_-* #,##0.00\ _€_-;\-* #,##0.00\ _€_-;_-* &quot;-&quot;??\ _€_-;_-@_-"/>
    <numFmt numFmtId="164" formatCode="0.000"/>
    <numFmt numFmtId="165" formatCode="0.0000"/>
    <numFmt numFmtId="166" formatCode="#,##0.0000"/>
    <numFmt numFmtId="167" formatCode="_-* #,##0\ _€_-;\-* #,##0\ _€_-;_-* &quot;-&quot;??\ _€_-;_-@_-"/>
    <numFmt numFmtId="168" formatCode="0.0%"/>
    <numFmt numFmtId="169" formatCode="#,##0.00_ ;\-#,##0.00\ "/>
    <numFmt numFmtId="170" formatCode="0.0"/>
    <numFmt numFmtId="171" formatCode="0.000%"/>
    <numFmt numFmtId="172" formatCode="#,##0_ ;\-#,##0\ "/>
    <numFmt numFmtId="173" formatCode="#,##0.0"/>
  </numFmts>
  <fonts count="124">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rgb="FF002060"/>
      <name val="Calibri"/>
      <family val="2"/>
      <scheme val="minor"/>
    </font>
    <font>
      <sz val="14"/>
      <name val="Calibri"/>
      <family val="2"/>
      <scheme val="minor"/>
    </font>
    <font>
      <sz val="20"/>
      <name val="Calibri"/>
      <family val="2"/>
      <scheme val="minor"/>
    </font>
    <font>
      <sz val="12"/>
      <color theme="1"/>
      <name val="Calibri"/>
      <family val="2"/>
      <scheme val="minor"/>
    </font>
    <font>
      <sz val="14"/>
      <color theme="1"/>
      <name val="Calibri"/>
      <family val="2"/>
      <scheme val="minor"/>
    </font>
    <font>
      <b/>
      <sz val="11"/>
      <color theme="0"/>
      <name val="Calibri"/>
      <family val="2"/>
      <charset val="161"/>
      <scheme val="minor"/>
    </font>
    <font>
      <b/>
      <sz val="11"/>
      <color theme="1"/>
      <name val="Calibri"/>
      <family val="2"/>
      <charset val="161"/>
      <scheme val="minor"/>
    </font>
    <font>
      <b/>
      <sz val="14"/>
      <color theme="0"/>
      <name val="Calibri"/>
      <family val="2"/>
      <charset val="161"/>
      <scheme val="minor"/>
    </font>
    <font>
      <sz val="11"/>
      <color rgb="FF9C6500"/>
      <name val="Calibri"/>
      <family val="2"/>
      <charset val="161"/>
      <scheme val="minor"/>
    </font>
    <font>
      <b/>
      <sz val="22"/>
      <color theme="0"/>
      <name val="Calibri"/>
      <family val="2"/>
      <charset val="161"/>
      <scheme val="minor"/>
    </font>
    <font>
      <b/>
      <sz val="11"/>
      <color theme="4"/>
      <name val="Calibri"/>
      <family val="2"/>
      <charset val="161"/>
      <scheme val="minor"/>
    </font>
    <font>
      <sz val="11"/>
      <color rgb="FF000000"/>
      <name val="Calibri"/>
      <family val="2"/>
      <charset val="161"/>
      <scheme val="minor"/>
    </font>
    <font>
      <sz val="14"/>
      <color theme="4"/>
      <name val="Calibri"/>
      <family val="2"/>
      <charset val="161"/>
      <scheme val="minor"/>
    </font>
    <font>
      <sz val="14"/>
      <color theme="4"/>
      <name val="Calibri"/>
      <family val="2"/>
      <scheme val="minor"/>
    </font>
    <font>
      <sz val="10"/>
      <name val="Arial"/>
      <family val="2"/>
    </font>
    <font>
      <sz val="11"/>
      <color theme="0"/>
      <name val="Calibri"/>
      <family val="2"/>
      <charset val="161"/>
      <scheme val="minor"/>
    </font>
    <font>
      <sz val="12"/>
      <color theme="4"/>
      <name val="Calibri"/>
      <family val="2"/>
      <scheme val="minor"/>
    </font>
    <font>
      <b/>
      <sz val="12"/>
      <color theme="4"/>
      <name val="Calibri"/>
      <family val="2"/>
      <charset val="161"/>
      <scheme val="minor"/>
    </font>
    <font>
      <sz val="12"/>
      <color theme="6"/>
      <name val="Calibri"/>
      <family val="2"/>
      <scheme val="minor"/>
    </font>
    <font>
      <b/>
      <sz val="26"/>
      <color theme="0"/>
      <name val="Calibri"/>
      <family val="2"/>
      <charset val="161"/>
      <scheme val="minor"/>
    </font>
    <font>
      <sz val="11"/>
      <color theme="6"/>
      <name val="Calibri"/>
      <family val="2"/>
      <scheme val="minor"/>
    </font>
    <font>
      <sz val="12"/>
      <color theme="4"/>
      <name val="Calibri"/>
      <family val="2"/>
      <charset val="161"/>
      <scheme val="minor"/>
    </font>
    <font>
      <sz val="11"/>
      <color theme="5"/>
      <name val="Calibri"/>
      <family val="2"/>
      <charset val="161"/>
      <scheme val="minor"/>
    </font>
    <font>
      <sz val="11"/>
      <color theme="6"/>
      <name val="Calibri"/>
      <family val="2"/>
      <charset val="161"/>
      <scheme val="minor"/>
    </font>
    <font>
      <sz val="11"/>
      <color theme="7" tint="-0.499984740745262"/>
      <name val="Calibri"/>
      <family val="2"/>
      <charset val="161"/>
      <scheme val="minor"/>
    </font>
    <font>
      <sz val="11"/>
      <color rgb="FFFF6600"/>
      <name val="Calibri"/>
      <family val="2"/>
      <charset val="161"/>
      <scheme val="minor"/>
    </font>
    <font>
      <sz val="11"/>
      <color theme="1" tint="0.499984740745262"/>
      <name val="Calibri"/>
      <family val="2"/>
      <scheme val="minor"/>
    </font>
    <font>
      <sz val="14"/>
      <color theme="0"/>
      <name val="Calibri"/>
      <family val="2"/>
      <charset val="161"/>
      <scheme val="minor"/>
    </font>
    <font>
      <b/>
      <sz val="11"/>
      <color theme="5"/>
      <name val="Calibri"/>
      <family val="2"/>
      <charset val="161"/>
      <scheme val="minor"/>
    </font>
    <font>
      <sz val="11"/>
      <color theme="4"/>
      <name val="Calibri"/>
      <family val="2"/>
      <charset val="161"/>
      <scheme val="minor"/>
    </font>
    <font>
      <b/>
      <sz val="11"/>
      <color theme="7" tint="-0.499984740745262"/>
      <name val="Calibri"/>
      <family val="2"/>
      <charset val="161"/>
      <scheme val="minor"/>
    </font>
    <font>
      <b/>
      <sz val="11"/>
      <color rgb="FFFF6600"/>
      <name val="Calibri"/>
      <family val="2"/>
      <charset val="161"/>
      <scheme val="minor"/>
    </font>
    <font>
      <sz val="26"/>
      <color theme="0"/>
      <name val="Calibri"/>
      <family val="2"/>
      <charset val="161"/>
      <scheme val="minor"/>
    </font>
    <font>
      <sz val="14"/>
      <color theme="0"/>
      <name val="Calibri"/>
      <family val="2"/>
      <scheme val="minor"/>
    </font>
    <font>
      <b/>
      <sz val="12"/>
      <color theme="1" tint="0.499984740745262"/>
      <name val="Calibri"/>
      <family val="2"/>
      <charset val="161"/>
      <scheme val="minor"/>
    </font>
    <font>
      <sz val="11"/>
      <color rgb="FFA50021"/>
      <name val="Calibri"/>
      <family val="2"/>
      <charset val="161"/>
      <scheme val="minor"/>
    </font>
    <font>
      <b/>
      <sz val="11"/>
      <color rgb="FFA50021"/>
      <name val="Calibri"/>
      <family val="2"/>
      <charset val="161"/>
      <scheme val="minor"/>
    </font>
    <font>
      <sz val="11"/>
      <color rgb="FFA5002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1"/>
      <name val="Calibri"/>
      <family val="2"/>
      <charset val="161"/>
      <scheme val="minor"/>
    </font>
    <font>
      <sz val="11"/>
      <color rgb="FFC00000"/>
      <name val="Calibri"/>
      <family val="2"/>
      <charset val="161"/>
      <scheme val="minor"/>
    </font>
    <font>
      <b/>
      <sz val="16"/>
      <color theme="0"/>
      <name val="Calibri"/>
      <family val="2"/>
      <charset val="161"/>
      <scheme val="minor"/>
    </font>
    <font>
      <sz val="14"/>
      <color theme="1"/>
      <name val="Calibri"/>
      <family val="2"/>
      <charset val="161"/>
      <scheme val="minor"/>
    </font>
    <font>
      <sz val="11"/>
      <color rgb="FFC00000"/>
      <name val="Calibri"/>
      <family val="2"/>
      <scheme val="minor"/>
    </font>
    <font>
      <b/>
      <sz val="12"/>
      <color rgb="FFC00000"/>
      <name val="Calibri"/>
      <family val="2"/>
      <charset val="161"/>
      <scheme val="minor"/>
    </font>
    <font>
      <sz val="10"/>
      <color theme="0"/>
      <name val="Arial"/>
      <family val="2"/>
    </font>
    <font>
      <b/>
      <sz val="10"/>
      <color theme="0"/>
      <name val="Arial"/>
      <family val="2"/>
    </font>
    <font>
      <sz val="22"/>
      <color theme="0"/>
      <name val="Calibri"/>
      <family val="2"/>
      <scheme val="minor"/>
    </font>
    <font>
      <b/>
      <sz val="11"/>
      <color theme="6"/>
      <name val="Calibri"/>
      <family val="2"/>
      <charset val="161"/>
      <scheme val="minor"/>
    </font>
    <font>
      <b/>
      <sz val="14"/>
      <color rgb="FFCC00CC"/>
      <name val="Calibri"/>
      <family val="2"/>
      <charset val="161"/>
      <scheme val="minor"/>
    </font>
    <font>
      <sz val="11"/>
      <color indexed="8"/>
      <name val="Calibri"/>
      <family val="2"/>
    </font>
    <font>
      <u/>
      <sz val="10"/>
      <color indexed="12"/>
      <name val="Arial"/>
      <family val="2"/>
    </font>
    <font>
      <b/>
      <sz val="14"/>
      <color rgb="FFFF6600"/>
      <name val="Calibri"/>
      <family val="2"/>
      <charset val="161"/>
      <scheme val="minor"/>
    </font>
    <font>
      <b/>
      <sz val="14"/>
      <color theme="7" tint="-0.499984740745262"/>
      <name val="Calibri"/>
      <family val="2"/>
      <charset val="161"/>
      <scheme val="minor"/>
    </font>
    <font>
      <i/>
      <sz val="10"/>
      <color theme="1"/>
      <name val="Calibri"/>
      <family val="2"/>
      <charset val="161"/>
      <scheme val="minor"/>
    </font>
    <font>
      <b/>
      <sz val="12"/>
      <color rgb="FFA50021"/>
      <name val="Calibri"/>
      <family val="2"/>
      <scheme val="minor"/>
    </font>
    <font>
      <sz val="11"/>
      <color theme="1"/>
      <name val="Aharoni"/>
      <charset val="177"/>
    </font>
    <font>
      <sz val="11"/>
      <color rgb="FFFF0000"/>
      <name val="Calibri"/>
      <family val="2"/>
      <scheme val="minor"/>
    </font>
    <font>
      <b/>
      <sz val="12"/>
      <color rgb="FFFF6600"/>
      <name val="Calibri"/>
      <family val="2"/>
      <scheme val="minor"/>
    </font>
    <font>
      <b/>
      <sz val="14"/>
      <color rgb="FFCC00CC"/>
      <name val="Calibri"/>
      <family val="2"/>
      <scheme val="minor"/>
    </font>
    <font>
      <b/>
      <sz val="14"/>
      <color theme="2" tint="-9.9978637043366805E-2"/>
      <name val="Calibri"/>
      <family val="2"/>
      <scheme val="minor"/>
    </font>
    <font>
      <sz val="11"/>
      <color theme="7" tint="-0.249977111117893"/>
      <name val="Calibri"/>
      <family val="2"/>
      <scheme val="minor"/>
    </font>
    <font>
      <b/>
      <sz val="14"/>
      <color theme="5"/>
      <name val="Calibri"/>
      <family val="2"/>
      <scheme val="minor"/>
    </font>
    <font>
      <b/>
      <sz val="14"/>
      <color rgb="FFFF6600"/>
      <name val="Calibri"/>
      <family val="2"/>
      <scheme val="minor"/>
    </font>
    <font>
      <b/>
      <sz val="14"/>
      <color theme="1" tint="0.499984740745262"/>
      <name val="Calibri"/>
      <family val="2"/>
      <scheme val="minor"/>
    </font>
    <font>
      <b/>
      <sz val="12"/>
      <color theme="1" tint="0.499984740745262"/>
      <name val="Calibri"/>
      <family val="2"/>
      <scheme val="minor"/>
    </font>
    <font>
      <b/>
      <sz val="14"/>
      <color theme="7" tint="-0.249977111117893"/>
      <name val="Calibri"/>
      <family val="2"/>
      <scheme val="minor"/>
    </font>
    <font>
      <b/>
      <sz val="14"/>
      <color theme="0"/>
      <name val="Calibri"/>
      <family val="2"/>
      <scheme val="minor"/>
    </font>
    <font>
      <sz val="11"/>
      <color theme="4" tint="0.59999389629810485"/>
      <name val="Calibri"/>
      <family val="2"/>
      <scheme val="minor"/>
    </font>
    <font>
      <sz val="12"/>
      <color theme="7" tint="-0.249977111117893"/>
      <name val="Calibri"/>
      <family val="2"/>
      <scheme val="minor"/>
    </font>
    <font>
      <sz val="11"/>
      <color rgb="FFFF6600"/>
      <name val="Calibri"/>
      <family val="2"/>
      <scheme val="minor"/>
    </font>
    <font>
      <sz val="10"/>
      <color theme="1"/>
      <name val="Calibri"/>
      <family val="2"/>
      <scheme val="minor"/>
    </font>
    <font>
      <b/>
      <sz val="11"/>
      <color rgb="FFCC3300"/>
      <name val="Calibri"/>
      <family val="2"/>
      <scheme val="minor"/>
    </font>
    <font>
      <sz val="11"/>
      <color rgb="FFCC3300"/>
      <name val="Calibri"/>
      <family val="2"/>
      <scheme val="minor"/>
    </font>
    <font>
      <b/>
      <sz val="14"/>
      <color theme="4"/>
      <name val="Calibri"/>
      <family val="2"/>
      <charset val="161"/>
      <scheme val="minor"/>
    </font>
    <font>
      <b/>
      <sz val="11"/>
      <color rgb="FFA50021"/>
      <name val="Calibri"/>
      <family val="2"/>
      <scheme val="minor"/>
    </font>
    <font>
      <b/>
      <sz val="14"/>
      <color theme="4"/>
      <name val="Calibri"/>
      <family val="2"/>
      <scheme val="minor"/>
    </font>
    <font>
      <sz val="11"/>
      <color rgb="FFFF9900"/>
      <name val="Calibri"/>
      <family val="2"/>
      <scheme val="minor"/>
    </font>
    <font>
      <b/>
      <sz val="11"/>
      <color rgb="FFFF9900"/>
      <name val="Calibri"/>
      <family val="2"/>
      <scheme val="minor"/>
    </font>
    <font>
      <sz val="9"/>
      <color indexed="81"/>
      <name val="Tahoma"/>
      <family val="2"/>
    </font>
    <font>
      <b/>
      <sz val="9"/>
      <color indexed="81"/>
      <name val="Tahoma"/>
      <family val="2"/>
    </font>
    <font>
      <sz val="12"/>
      <color theme="1"/>
      <name val="Calibri"/>
      <family val="2"/>
      <charset val="161"/>
      <scheme val="minor"/>
    </font>
    <font>
      <b/>
      <sz val="16"/>
      <color rgb="FFFF0000"/>
      <name val="Calibri"/>
      <family val="2"/>
      <charset val="161"/>
      <scheme val="minor"/>
    </font>
    <font>
      <b/>
      <sz val="18"/>
      <color theme="0"/>
      <name val="Calibri"/>
      <family val="2"/>
      <charset val="161"/>
      <scheme val="minor"/>
    </font>
    <font>
      <b/>
      <sz val="18"/>
      <color theme="7" tint="-0.249977111117893"/>
      <name val="Calibri"/>
      <family val="2"/>
      <charset val="161"/>
      <scheme val="minor"/>
    </font>
    <font>
      <b/>
      <sz val="16"/>
      <color rgb="FFFF6600"/>
      <name val="Calibri"/>
      <family val="2"/>
      <charset val="161"/>
      <scheme val="minor"/>
    </font>
    <font>
      <b/>
      <sz val="14"/>
      <color theme="1"/>
      <name val="Calibri"/>
      <family val="2"/>
      <scheme val="minor"/>
    </font>
    <font>
      <sz val="16"/>
      <color theme="1"/>
      <name val="Calibri"/>
      <family val="2"/>
      <charset val="161"/>
      <scheme val="minor"/>
    </font>
    <font>
      <b/>
      <sz val="11"/>
      <color rgb="FFFF0000"/>
      <name val="Calibri"/>
      <family val="2"/>
      <scheme val="minor"/>
    </font>
    <font>
      <b/>
      <sz val="10"/>
      <color theme="1"/>
      <name val="Calibri"/>
      <family val="2"/>
      <scheme val="minor"/>
    </font>
    <font>
      <b/>
      <sz val="11"/>
      <name val="Calibri"/>
      <family val="2"/>
      <scheme val="minor"/>
    </font>
    <font>
      <b/>
      <sz val="12"/>
      <color rgb="FFFF0000"/>
      <name val="Calibri"/>
      <family val="2"/>
      <scheme val="minor"/>
    </font>
    <font>
      <sz val="10"/>
      <color indexed="81"/>
      <name val="Tahoma"/>
      <family val="2"/>
    </font>
    <font>
      <sz val="12"/>
      <color indexed="81"/>
      <name val="Tahoma"/>
      <family val="2"/>
    </font>
    <font>
      <sz val="18"/>
      <color theme="1"/>
      <name val="Calibri"/>
      <family val="2"/>
      <charset val="161"/>
      <scheme val="minor"/>
    </font>
    <font>
      <sz val="20"/>
      <color theme="1"/>
      <name val="Calibri"/>
      <family val="2"/>
      <charset val="161"/>
      <scheme val="minor"/>
    </font>
    <font>
      <sz val="22"/>
      <color theme="1"/>
      <name val="Calibri"/>
      <family val="2"/>
      <charset val="161"/>
      <scheme val="minor"/>
    </font>
    <font>
      <b/>
      <sz val="14"/>
      <color theme="1"/>
      <name val="Calibri"/>
      <family val="2"/>
      <charset val="161"/>
      <scheme val="minor"/>
    </font>
    <font>
      <sz val="12"/>
      <color theme="5"/>
      <name val="Calibri"/>
      <family val="2"/>
      <scheme val="minor"/>
    </font>
    <font>
      <sz val="12"/>
      <color theme="7" tint="-0.499984740745262"/>
      <name val="Calibri"/>
      <family val="2"/>
      <scheme val="minor"/>
    </font>
    <font>
      <sz val="12"/>
      <color rgb="FFFF6600"/>
      <name val="Calibri"/>
      <family val="2"/>
      <scheme val="minor"/>
    </font>
    <font>
      <sz val="12"/>
      <color rgb="FF7030A0"/>
      <name val="Calibri"/>
      <family val="2"/>
      <scheme val="minor"/>
    </font>
    <font>
      <sz val="12"/>
      <color theme="4" tint="0.39997558519241921"/>
      <name val="Calibri"/>
      <family val="2"/>
      <scheme val="minor"/>
    </font>
    <font>
      <sz val="12"/>
      <color rgb="FFFFC000"/>
      <name val="Calibri"/>
      <family val="2"/>
      <scheme val="minor"/>
    </font>
    <font>
      <b/>
      <i/>
      <sz val="10"/>
      <color theme="1"/>
      <name val="Calibri"/>
      <family val="2"/>
      <scheme val="minor"/>
    </font>
    <font>
      <b/>
      <sz val="12"/>
      <color indexed="81"/>
      <name val="Tahoma"/>
      <family val="2"/>
    </font>
    <font>
      <b/>
      <sz val="12"/>
      <color theme="1"/>
      <name val="Calibri"/>
      <family val="2"/>
      <scheme val="minor"/>
    </font>
    <font>
      <b/>
      <sz val="11"/>
      <color indexed="81"/>
      <name val="Tahoma"/>
      <family val="2"/>
    </font>
  </fonts>
  <fills count="54">
    <fill>
      <patternFill patternType="none"/>
    </fill>
    <fill>
      <patternFill patternType="gray125"/>
    </fill>
    <fill>
      <patternFill patternType="solid">
        <fgColor theme="4"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FFEB9C"/>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1" tint="0.499984740745262"/>
        <bgColor indexed="64"/>
      </patternFill>
    </fill>
    <fill>
      <patternFill patternType="solid">
        <fgColor theme="7"/>
        <bgColor indexed="64"/>
      </patternFill>
    </fill>
    <fill>
      <patternFill patternType="solid">
        <fgColor theme="8"/>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1F2C4"/>
        <bgColor indexed="64"/>
      </patternFill>
    </fill>
    <fill>
      <patternFill patternType="solid">
        <fgColor theme="7" tint="-0.499984740745262"/>
        <bgColor indexed="64"/>
      </patternFill>
    </fill>
    <fill>
      <patternFill patternType="solid">
        <fgColor theme="2" tint="-9.9978637043366805E-2"/>
        <bgColor indexed="64"/>
      </patternFill>
    </fill>
    <fill>
      <patternFill patternType="lightUp">
        <fgColor theme="0" tint="-0.499984740745262"/>
        <bgColor indexed="65"/>
      </patternFill>
    </fill>
    <fill>
      <patternFill patternType="solid">
        <fgColor theme="3"/>
        <bgColor indexed="64"/>
      </patternFill>
    </fill>
    <fill>
      <patternFill patternType="solid">
        <fgColor theme="4" tint="0.79998168889431442"/>
        <bgColor indexed="64"/>
      </patternFill>
    </fill>
    <fill>
      <patternFill patternType="lightUp">
        <fgColor theme="0" tint="-0.499984740745262"/>
        <bgColor theme="7" tint="0.79998168889431442"/>
      </patternFill>
    </fill>
    <fill>
      <patternFill patternType="solid">
        <fgColor theme="7" tint="0.79995117038483843"/>
        <bgColor indexed="64"/>
      </patternFill>
    </fill>
    <fill>
      <patternFill patternType="solid">
        <fgColor theme="7" tint="0.79995117038483843"/>
        <bgColor theme="0" tint="-0.499984740745262"/>
      </patternFill>
    </fill>
    <fill>
      <patternFill patternType="lightUp">
        <fgColor theme="0" tint="-0.499984740745262"/>
        <bgColor theme="7" tint="0.79995117038483843"/>
      </patternFill>
    </fill>
    <fill>
      <patternFill patternType="lightUp">
        <bgColor theme="7" tint="0.79995117038483843"/>
      </patternFill>
    </fill>
    <fill>
      <patternFill patternType="lightUp"/>
    </fill>
    <fill>
      <patternFill patternType="lightUp">
        <bgColor theme="7" tint="0.39997558519241921"/>
      </patternFill>
    </fill>
    <fill>
      <patternFill patternType="lightUp">
        <fgColor theme="0" tint="-0.499984740745262"/>
        <bgColor theme="7" tint="0.59999389629810485"/>
      </patternFill>
    </fill>
    <fill>
      <patternFill patternType="lightUp">
        <bgColor theme="7" tint="0.59999389629810485"/>
      </patternFill>
    </fill>
    <fill>
      <patternFill patternType="lightUp">
        <bgColor theme="7" tint="0.39994506668294322"/>
      </patternFill>
    </fill>
    <fill>
      <patternFill patternType="lightUp">
        <bgColor rgb="FFFFEB9C"/>
      </patternFill>
    </fill>
    <fill>
      <patternFill patternType="lightUp">
        <fgColor theme="0" tint="-0.499984740745262"/>
        <bgColor theme="7" tint="0.39997558519241921"/>
      </patternFill>
    </fill>
    <fill>
      <patternFill patternType="solid">
        <fgColor theme="8" tint="-0.249977111117893"/>
        <bgColor indexed="64"/>
      </patternFill>
    </fill>
    <fill>
      <patternFill patternType="lightUp">
        <bgColor theme="7" tint="0.79998168889431442"/>
      </patternFill>
    </fill>
    <fill>
      <patternFill patternType="lightUp">
        <bgColor theme="0"/>
      </patternFill>
    </fill>
    <fill>
      <patternFill patternType="solid">
        <fgColor rgb="FFFF6600"/>
        <bgColor indexed="64"/>
      </patternFill>
    </fill>
    <fill>
      <patternFill patternType="solid">
        <fgColor rgb="FFFFFF00"/>
        <bgColor indexed="64"/>
      </patternFill>
    </fill>
    <fill>
      <patternFill patternType="solid">
        <fgColor theme="7" tint="0.39991454817346722"/>
        <bgColor indexed="64"/>
      </patternFill>
    </fill>
    <fill>
      <patternFill patternType="solid">
        <fgColor indexed="65"/>
        <bgColor indexed="64"/>
      </patternFill>
    </fill>
    <fill>
      <patternFill patternType="solid">
        <fgColor theme="7" tint="0.59999389629810485"/>
        <bgColor theme="0" tint="-0.499984740745262"/>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EB9C"/>
        <bgColor indexed="64"/>
      </patternFill>
    </fill>
    <fill>
      <patternFill patternType="lightDown">
        <bgColor theme="7" tint="0.59999389629810485"/>
      </patternFill>
    </fill>
    <fill>
      <patternFill patternType="lightDown">
        <bgColor theme="7" tint="0.79995117038483843"/>
      </patternFill>
    </fill>
    <fill>
      <patternFill patternType="lightDown">
        <bgColor theme="7" tint="0.79992065187536243"/>
      </patternFill>
    </fill>
    <fill>
      <patternFill patternType="lightDown">
        <bgColor theme="7" tint="0.39997558519241921"/>
      </patternFill>
    </fill>
    <fill>
      <patternFill patternType="lightDown">
        <bgColor theme="7" tint="0.39994506668294322"/>
      </patternFill>
    </fill>
    <fill>
      <patternFill patternType="lightDown">
        <fgColor theme="0" tint="-0.499984740745262"/>
        <bgColor theme="7" tint="0.79989013336588644"/>
      </patternFill>
    </fill>
    <fill>
      <patternFill patternType="lightDown">
        <bgColor theme="7" tint="0.79989013336588644"/>
      </patternFill>
    </fill>
    <fill>
      <patternFill patternType="lightDown">
        <bgColor theme="7" tint="0.79998168889431442"/>
      </patternFill>
    </fill>
    <fill>
      <patternFill patternType="solid">
        <fgColor rgb="FFCC00CC"/>
        <bgColor indexed="64"/>
      </patternFill>
    </fill>
    <fill>
      <patternFill patternType="solid">
        <fgColor theme="7" tint="0.79992065187536243"/>
        <bgColor indexed="64"/>
      </patternFill>
    </fill>
  </fills>
  <borders count="1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4"/>
      </left>
      <right style="thin">
        <color auto="1"/>
      </right>
      <top style="medium">
        <color theme="4"/>
      </top>
      <bottom style="thin">
        <color auto="1"/>
      </bottom>
      <diagonal/>
    </border>
    <border>
      <left style="thin">
        <color auto="1"/>
      </left>
      <right style="thin">
        <color auto="1"/>
      </right>
      <top style="medium">
        <color theme="4"/>
      </top>
      <bottom style="thin">
        <color auto="1"/>
      </bottom>
      <diagonal/>
    </border>
    <border>
      <left style="thin">
        <color auto="1"/>
      </left>
      <right style="medium">
        <color theme="4"/>
      </right>
      <top style="medium">
        <color theme="4"/>
      </top>
      <bottom style="thin">
        <color auto="1"/>
      </bottom>
      <diagonal/>
    </border>
    <border>
      <left style="medium">
        <color theme="4"/>
      </left>
      <right style="thin">
        <color auto="1"/>
      </right>
      <top style="thin">
        <color auto="1"/>
      </top>
      <bottom style="thin">
        <color auto="1"/>
      </bottom>
      <diagonal/>
    </border>
    <border>
      <left style="thin">
        <color auto="1"/>
      </left>
      <right style="medium">
        <color theme="4"/>
      </right>
      <top style="thin">
        <color auto="1"/>
      </top>
      <bottom style="thin">
        <color auto="1"/>
      </bottom>
      <diagonal/>
    </border>
    <border>
      <left style="medium">
        <color theme="4"/>
      </left>
      <right style="thin">
        <color auto="1"/>
      </right>
      <top style="thin">
        <color auto="1"/>
      </top>
      <bottom style="medium">
        <color theme="4"/>
      </bottom>
      <diagonal/>
    </border>
    <border>
      <left style="thin">
        <color auto="1"/>
      </left>
      <right style="thin">
        <color auto="1"/>
      </right>
      <top style="thin">
        <color auto="1"/>
      </top>
      <bottom style="medium">
        <color theme="4"/>
      </bottom>
      <diagonal/>
    </border>
    <border>
      <left style="thin">
        <color auto="1"/>
      </left>
      <right style="medium">
        <color theme="4"/>
      </right>
      <top style="thin">
        <color auto="1"/>
      </top>
      <bottom style="medium">
        <color theme="4"/>
      </bottom>
      <diagonal/>
    </border>
    <border>
      <left style="thin">
        <color auto="1"/>
      </left>
      <right style="medium">
        <color theme="4"/>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double">
        <color theme="4"/>
      </left>
      <right/>
      <top style="double">
        <color theme="4"/>
      </top>
      <bottom/>
      <diagonal/>
    </border>
    <border>
      <left/>
      <right/>
      <top style="double">
        <color theme="4"/>
      </top>
      <bottom/>
      <diagonal/>
    </border>
    <border>
      <left/>
      <right style="double">
        <color theme="4"/>
      </right>
      <top style="double">
        <color theme="4"/>
      </top>
      <bottom/>
      <diagonal/>
    </border>
    <border>
      <left style="double">
        <color theme="4"/>
      </left>
      <right/>
      <top/>
      <bottom/>
      <diagonal/>
    </border>
    <border>
      <left/>
      <right style="double">
        <color theme="4"/>
      </right>
      <top/>
      <bottom/>
      <diagonal/>
    </border>
    <border>
      <left style="double">
        <color theme="4"/>
      </left>
      <right/>
      <top/>
      <bottom style="double">
        <color theme="4"/>
      </bottom>
      <diagonal/>
    </border>
    <border>
      <left/>
      <right/>
      <top/>
      <bottom style="double">
        <color theme="4"/>
      </bottom>
      <diagonal/>
    </border>
    <border>
      <left/>
      <right style="double">
        <color theme="4"/>
      </right>
      <top/>
      <bottom style="double">
        <color theme="4"/>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medium">
        <color theme="4"/>
      </top>
      <bottom/>
      <diagonal/>
    </border>
    <border>
      <left style="thin">
        <color indexed="64"/>
      </left>
      <right style="thin">
        <color indexed="64"/>
      </right>
      <top/>
      <bottom style="medium">
        <color theme="4"/>
      </bottom>
      <diagonal/>
    </border>
    <border>
      <left style="medium">
        <color theme="4"/>
      </left>
      <right style="thin">
        <color auto="1"/>
      </right>
      <top/>
      <bottom style="thin">
        <color auto="1"/>
      </bottom>
      <diagonal/>
    </border>
    <border>
      <left style="thin">
        <color auto="1"/>
      </left>
      <right style="medium">
        <color theme="4"/>
      </right>
      <top/>
      <bottom style="thin">
        <color indexed="64"/>
      </bottom>
      <diagonal/>
    </border>
    <border>
      <left style="thin">
        <color auto="1"/>
      </left>
      <right style="medium">
        <color theme="4"/>
      </right>
      <top/>
      <bottom style="medium">
        <color theme="4"/>
      </bottom>
      <diagonal/>
    </border>
    <border>
      <left style="medium">
        <color theme="4"/>
      </left>
      <right style="thin">
        <color auto="1"/>
      </right>
      <top style="thin">
        <color auto="1"/>
      </top>
      <bottom/>
      <diagonal/>
    </border>
    <border>
      <left style="thin">
        <color auto="1"/>
      </left>
      <right style="medium">
        <color theme="4"/>
      </right>
      <top/>
      <bottom/>
      <diagonal/>
    </border>
    <border>
      <left/>
      <right style="medium">
        <color theme="4"/>
      </right>
      <top style="thin">
        <color auto="1"/>
      </top>
      <bottom/>
      <diagonal/>
    </border>
    <border>
      <left/>
      <right style="medium">
        <color theme="4"/>
      </right>
      <top/>
      <bottom/>
      <diagonal/>
    </border>
    <border>
      <left/>
      <right style="medium">
        <color theme="4"/>
      </right>
      <top/>
      <bottom style="thin">
        <color theme="1"/>
      </bottom>
      <diagonal/>
    </border>
    <border>
      <left style="thin">
        <color theme="1"/>
      </left>
      <right style="thin">
        <color theme="1"/>
      </right>
      <top style="thin">
        <color theme="1"/>
      </top>
      <bottom/>
      <diagonal/>
    </border>
    <border>
      <left style="dashed">
        <color theme="4"/>
      </left>
      <right/>
      <top style="dashed">
        <color theme="4"/>
      </top>
      <bottom/>
      <diagonal/>
    </border>
    <border>
      <left/>
      <right/>
      <top style="dashed">
        <color theme="4"/>
      </top>
      <bottom/>
      <diagonal/>
    </border>
    <border>
      <left/>
      <right style="dashed">
        <color theme="4"/>
      </right>
      <top style="dashed">
        <color theme="4"/>
      </top>
      <bottom/>
      <diagonal/>
    </border>
    <border>
      <left style="dashed">
        <color theme="4"/>
      </left>
      <right/>
      <top/>
      <bottom/>
      <diagonal/>
    </border>
    <border>
      <left/>
      <right style="dashed">
        <color theme="4"/>
      </right>
      <top/>
      <bottom/>
      <diagonal/>
    </border>
    <border>
      <left style="dashed">
        <color theme="4"/>
      </left>
      <right/>
      <top/>
      <bottom style="dashed">
        <color theme="4"/>
      </bottom>
      <diagonal/>
    </border>
    <border>
      <left/>
      <right/>
      <top/>
      <bottom style="dashed">
        <color theme="4"/>
      </bottom>
      <diagonal/>
    </border>
    <border>
      <left/>
      <right style="dashed">
        <color theme="4"/>
      </right>
      <top/>
      <bottom style="dashed">
        <color theme="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top/>
      <bottom style="thin">
        <color theme="1"/>
      </bottom>
      <diagonal/>
    </border>
    <border>
      <left/>
      <right/>
      <top/>
      <bottom style="thin">
        <color theme="1"/>
      </bottom>
      <diagonal/>
    </border>
    <border>
      <left/>
      <right style="medium">
        <color indexed="64"/>
      </right>
      <top style="medium">
        <color indexed="64"/>
      </top>
      <bottom style="thin">
        <color auto="1"/>
      </bottom>
      <diagonal/>
    </border>
    <border>
      <left style="thin">
        <color theme="1"/>
      </left>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right/>
      <top style="thin">
        <color theme="1"/>
      </top>
      <bottom style="thin">
        <color theme="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39">
    <xf numFmtId="0" fontId="0" fillId="0" borderId="0"/>
    <xf numFmtId="0" fontId="22" fillId="6" borderId="0" applyNumberFormat="0" applyBorder="0" applyAlignment="0" applyProtection="0"/>
    <xf numFmtId="0" fontId="28" fillId="0" borderId="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9" fontId="54"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3" fontId="54" fillId="0" borderId="0" applyFont="0" applyFill="0" applyBorder="0" applyAlignment="0" applyProtection="0"/>
    <xf numFmtId="0" fontId="52" fillId="0" borderId="0" applyNumberFormat="0" applyFill="0" applyBorder="0" applyAlignment="0" applyProtection="0"/>
    <xf numFmtId="0" fontId="28" fillId="0" borderId="0"/>
    <xf numFmtId="0" fontId="66" fillId="0" borderId="0"/>
    <xf numFmtId="0" fontId="67" fillId="0" borderId="0" applyNumberFormat="0" applyFill="0" applyBorder="0" applyAlignment="0" applyProtection="0">
      <alignment vertical="top"/>
      <protection locked="0"/>
    </xf>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3" fontId="54" fillId="0" borderId="0" applyFont="0" applyFill="0" applyBorder="0" applyAlignment="0" applyProtection="0"/>
    <xf numFmtId="0" fontId="52" fillId="0" borderId="0" applyNumberFormat="0" applyFill="0" applyBorder="0" applyAlignment="0" applyProtection="0"/>
  </cellStyleXfs>
  <cellXfs count="902">
    <xf numFmtId="0" fontId="0" fillId="0" borderId="0" xfId="0"/>
    <xf numFmtId="0" fontId="0" fillId="5" borderId="0" xfId="0" applyFill="1"/>
    <xf numFmtId="0" fontId="0" fillId="5" borderId="0" xfId="0" applyFill="1" applyAlignment="1">
      <alignment vertical="center" wrapText="1"/>
    </xf>
    <xf numFmtId="0" fontId="0" fillId="0" borderId="0" xfId="0" applyProtection="1">
      <protection locked="0"/>
    </xf>
    <xf numFmtId="0" fontId="0" fillId="15" borderId="0" xfId="0" applyFill="1" applyProtection="1">
      <protection locked="0"/>
    </xf>
    <xf numFmtId="0" fontId="23" fillId="8" borderId="0" xfId="0" applyFont="1" applyFill="1" applyBorder="1" applyAlignment="1" applyProtection="1">
      <alignment horizontal="left"/>
      <protection locked="0"/>
    </xf>
    <xf numFmtId="0" fontId="0" fillId="17" borderId="0" xfId="0" applyFill="1" applyProtection="1">
      <protection locked="0"/>
    </xf>
    <xf numFmtId="0" fontId="9" fillId="0" borderId="0" xfId="0" applyFont="1" applyProtection="1">
      <protection locked="0"/>
    </xf>
    <xf numFmtId="0" fontId="9" fillId="15" borderId="0" xfId="0" applyFont="1" applyFill="1" applyProtection="1">
      <protection locked="0"/>
    </xf>
    <xf numFmtId="0" fontId="9" fillId="5" borderId="0" xfId="0" applyFont="1" applyFill="1" applyProtection="1">
      <protection locked="0"/>
    </xf>
    <xf numFmtId="0" fontId="33" fillId="7" borderId="0" xfId="0" applyFont="1" applyFill="1" applyAlignment="1" applyProtection="1">
      <alignment horizontal="left"/>
      <protection locked="0"/>
    </xf>
    <xf numFmtId="0" fontId="33" fillId="8" borderId="0" xfId="0" applyFont="1" applyFill="1" applyAlignment="1" applyProtection="1">
      <alignment horizontal="left"/>
      <protection locked="0"/>
    </xf>
    <xf numFmtId="0" fontId="8" fillId="15" borderId="0" xfId="0" applyFont="1" applyFill="1" applyProtection="1">
      <protection locked="0"/>
    </xf>
    <xf numFmtId="0" fontId="20" fillId="15" borderId="0" xfId="0" applyFont="1" applyFill="1" applyAlignment="1" applyProtection="1">
      <protection locked="0"/>
    </xf>
    <xf numFmtId="0" fontId="46" fillId="8" borderId="0" xfId="0" applyFont="1" applyFill="1" applyAlignment="1" applyProtection="1">
      <alignment horizontal="left"/>
      <protection locked="0"/>
    </xf>
    <xf numFmtId="0" fontId="8" fillId="0" borderId="0" xfId="0" applyFont="1" applyProtection="1">
      <protection locked="0"/>
    </xf>
    <xf numFmtId="4" fontId="37" fillId="6" borderId="6" xfId="1" applyNumberFormat="1" applyFont="1" applyBorder="1" applyAlignment="1" applyProtection="1">
      <alignment horizontal="right"/>
      <protection locked="0"/>
    </xf>
    <xf numFmtId="0" fontId="0" fillId="0" borderId="0" xfId="0"/>
    <xf numFmtId="0" fontId="48" fillId="17" borderId="0" xfId="0" applyFont="1" applyFill="1" applyProtection="1"/>
    <xf numFmtId="0" fontId="27" fillId="0" borderId="29" xfId="0" applyFont="1" applyFill="1" applyBorder="1" applyProtection="1"/>
    <xf numFmtId="0" fontId="27" fillId="0" borderId="1" xfId="0" applyFont="1" applyFill="1" applyBorder="1" applyProtection="1"/>
    <xf numFmtId="0" fontId="27" fillId="0" borderId="25" xfId="0" applyFont="1" applyFill="1" applyBorder="1" applyProtection="1"/>
    <xf numFmtId="0" fontId="0" fillId="13" borderId="25" xfId="0" applyFill="1" applyBorder="1" applyProtection="1"/>
    <xf numFmtId="0" fontId="0" fillId="13" borderId="1" xfId="0" applyFill="1" applyBorder="1" applyProtection="1"/>
    <xf numFmtId="0" fontId="0" fillId="13" borderId="29" xfId="0" applyFill="1" applyBorder="1" applyAlignment="1" applyProtection="1">
      <alignment horizontal="right"/>
    </xf>
    <xf numFmtId="0" fontId="31" fillId="0" borderId="25" xfId="0" applyFont="1" applyFill="1" applyBorder="1" applyAlignment="1" applyProtection="1">
      <alignment horizontal="justify"/>
    </xf>
    <xf numFmtId="0" fontId="6" fillId="14" borderId="1" xfId="0" applyFont="1" applyFill="1" applyBorder="1" applyProtection="1"/>
    <xf numFmtId="0" fontId="40" fillId="14" borderId="30" xfId="0" applyFont="1" applyFill="1" applyBorder="1" applyAlignment="1" applyProtection="1">
      <alignment horizontal="right"/>
    </xf>
    <xf numFmtId="0" fontId="40" fillId="14" borderId="26" xfId="0" applyFont="1" applyFill="1" applyBorder="1" applyProtection="1"/>
    <xf numFmtId="0" fontId="40" fillId="14" borderId="27" xfId="0" applyFont="1" applyFill="1" applyBorder="1" applyProtection="1"/>
    <xf numFmtId="3" fontId="25" fillId="3" borderId="1" xfId="0" applyNumberFormat="1" applyFont="1" applyFill="1" applyBorder="1" applyAlignment="1" applyProtection="1">
      <alignment horizontal="right" vertical="center"/>
    </xf>
    <xf numFmtId="3" fontId="25" fillId="22" borderId="1" xfId="0" applyNumberFormat="1" applyFont="1" applyFill="1" applyBorder="1" applyAlignment="1" applyProtection="1">
      <alignment horizontal="right" vertical="center"/>
    </xf>
    <xf numFmtId="0" fontId="31" fillId="0" borderId="1" xfId="0" applyFont="1" applyFill="1" applyBorder="1" applyProtection="1"/>
    <xf numFmtId="0" fontId="20" fillId="13" borderId="1" xfId="0" applyFont="1" applyFill="1" applyBorder="1" applyProtection="1"/>
    <xf numFmtId="0" fontId="20" fillId="14" borderId="1" xfId="0" applyFont="1" applyFill="1" applyBorder="1" applyProtection="1"/>
    <xf numFmtId="0" fontId="20" fillId="3" borderId="1" xfId="0" applyFont="1" applyFill="1" applyBorder="1" applyProtection="1"/>
    <xf numFmtId="3" fontId="25" fillId="25" borderId="1" xfId="0" applyNumberFormat="1" applyFont="1" applyFill="1" applyBorder="1" applyAlignment="1" applyProtection="1">
      <alignment horizontal="right" vertical="center"/>
    </xf>
    <xf numFmtId="3" fontId="25" fillId="30" borderId="1" xfId="0" applyNumberFormat="1" applyFont="1" applyFill="1" applyBorder="1" applyAlignment="1" applyProtection="1">
      <alignment horizontal="right" vertical="center"/>
    </xf>
    <xf numFmtId="3" fontId="3" fillId="24" borderId="1" xfId="0" applyNumberFormat="1" applyFont="1" applyFill="1" applyBorder="1" applyAlignment="1" applyProtection="1">
      <alignment horizontal="right"/>
    </xf>
    <xf numFmtId="3" fontId="3" fillId="14" borderId="1" xfId="0" applyNumberFormat="1" applyFont="1" applyFill="1" applyBorder="1" applyAlignment="1" applyProtection="1">
      <alignment horizontal="right"/>
    </xf>
    <xf numFmtId="3" fontId="3" fillId="29" borderId="1" xfId="0" applyNumberFormat="1" applyFont="1" applyFill="1" applyBorder="1" applyAlignment="1" applyProtection="1">
      <alignment horizontal="right"/>
    </xf>
    <xf numFmtId="0" fontId="2" fillId="13" borderId="1" xfId="0" applyFont="1" applyFill="1" applyBorder="1" applyAlignment="1" applyProtection="1">
      <alignment horizontal="right"/>
    </xf>
    <xf numFmtId="0" fontId="0" fillId="0" borderId="0" xfId="0"/>
    <xf numFmtId="0" fontId="0" fillId="5" borderId="0" xfId="0" applyFill="1"/>
    <xf numFmtId="4" fontId="37" fillId="6" borderId="15" xfId="1" applyNumberFormat="1" applyFont="1" applyBorder="1" applyAlignment="1" applyProtection="1">
      <alignment horizontal="right"/>
      <protection locked="0"/>
    </xf>
    <xf numFmtId="4" fontId="37" fillId="6" borderId="60" xfId="1" applyNumberFormat="1" applyFont="1" applyBorder="1" applyAlignment="1" applyProtection="1">
      <alignment horizontal="right"/>
      <protection locked="0"/>
    </xf>
    <xf numFmtId="4" fontId="37" fillId="6" borderId="56" xfId="1" applyNumberFormat="1" applyFont="1" applyBorder="1" applyAlignment="1" applyProtection="1">
      <alignment horizontal="right"/>
      <protection locked="0"/>
    </xf>
    <xf numFmtId="0" fontId="19" fillId="8" borderId="18" xfId="0" applyFont="1" applyFill="1" applyBorder="1" applyAlignment="1" applyProtection="1"/>
    <xf numFmtId="0" fontId="19" fillId="11" borderId="18" xfId="0" applyFont="1" applyFill="1" applyBorder="1" applyAlignment="1" applyProtection="1"/>
    <xf numFmtId="0" fontId="19" fillId="12" borderId="18" xfId="0" applyFont="1" applyFill="1" applyBorder="1" applyAlignment="1" applyProtection="1"/>
    <xf numFmtId="0" fontId="20" fillId="13" borderId="18" xfId="0" applyFont="1" applyFill="1" applyBorder="1" applyProtection="1"/>
    <xf numFmtId="1" fontId="34" fillId="6" borderId="18" xfId="1" applyNumberFormat="1" applyFont="1" applyBorder="1" applyProtection="1">
      <protection locked="0"/>
    </xf>
    <xf numFmtId="1" fontId="34" fillId="31" borderId="18" xfId="1" applyNumberFormat="1" applyFont="1" applyFill="1" applyBorder="1" applyProtection="1">
      <protection locked="0"/>
    </xf>
    <xf numFmtId="0" fontId="20" fillId="14" borderId="18" xfId="0" applyFont="1" applyFill="1" applyBorder="1" applyProtection="1"/>
    <xf numFmtId="0" fontId="20" fillId="3" borderId="18" xfId="0" applyFont="1" applyFill="1" applyBorder="1" applyProtection="1"/>
    <xf numFmtId="0" fontId="60" fillId="0" borderId="18" xfId="0" applyFont="1" applyFill="1" applyBorder="1" applyProtection="1"/>
    <xf numFmtId="3" fontId="56" fillId="13" borderId="18" xfId="0" applyNumberFormat="1" applyFont="1" applyFill="1" applyBorder="1" applyAlignment="1" applyProtection="1">
      <alignment vertical="center"/>
    </xf>
    <xf numFmtId="3" fontId="56" fillId="14" borderId="18" xfId="0" applyNumberFormat="1" applyFont="1" applyFill="1" applyBorder="1" applyAlignment="1" applyProtection="1">
      <alignment vertical="center"/>
    </xf>
    <xf numFmtId="3" fontId="56" fillId="3" borderId="18" xfId="0" applyNumberFormat="1" applyFont="1" applyFill="1" applyBorder="1" applyAlignment="1" applyProtection="1">
      <alignment vertical="center"/>
    </xf>
    <xf numFmtId="0" fontId="30" fillId="0" borderId="18" xfId="0" applyFont="1" applyFill="1" applyBorder="1" applyProtection="1"/>
    <xf numFmtId="3" fontId="34" fillId="6" borderId="18" xfId="1" applyNumberFormat="1" applyFont="1" applyBorder="1" applyProtection="1">
      <protection locked="0"/>
    </xf>
    <xf numFmtId="4" fontId="34" fillId="6" borderId="18" xfId="1" applyNumberFormat="1" applyFont="1" applyBorder="1" applyProtection="1">
      <protection locked="0"/>
    </xf>
    <xf numFmtId="0" fontId="27" fillId="0" borderId="81" xfId="0" applyFont="1" applyBorder="1" applyAlignment="1" applyProtection="1">
      <alignment horizontal="center"/>
    </xf>
    <xf numFmtId="0" fontId="60" fillId="0" borderId="42" xfId="0" applyFont="1" applyFill="1" applyBorder="1" applyProtection="1"/>
    <xf numFmtId="0" fontId="0" fillId="13" borderId="41" xfId="0" applyFont="1" applyFill="1" applyBorder="1" applyProtection="1"/>
    <xf numFmtId="0" fontId="0" fillId="3" borderId="43" xfId="0" applyFont="1" applyFill="1" applyBorder="1" applyProtection="1"/>
    <xf numFmtId="0" fontId="27" fillId="0" borderId="42" xfId="0" applyFont="1" applyBorder="1" applyAlignment="1" applyProtection="1">
      <alignment horizontal="center"/>
    </xf>
    <xf numFmtId="3" fontId="59" fillId="3" borderId="44" xfId="0" applyNumberFormat="1" applyFont="1" applyFill="1" applyBorder="1" applyAlignment="1" applyProtection="1">
      <alignment horizontal="right" vertical="center"/>
    </xf>
    <xf numFmtId="0" fontId="0" fillId="0" borderId="0" xfId="0" applyProtection="1">
      <protection locked="0"/>
    </xf>
    <xf numFmtId="0" fontId="0" fillId="15" borderId="0" xfId="0" applyFill="1" applyProtection="1">
      <protection locked="0"/>
    </xf>
    <xf numFmtId="0" fontId="1" fillId="3" borderId="1" xfId="0" applyFont="1" applyFill="1" applyBorder="1" applyProtection="1"/>
    <xf numFmtId="0" fontId="1" fillId="13" borderId="1" xfId="0" applyFont="1" applyFill="1" applyBorder="1" applyProtection="1"/>
    <xf numFmtId="0" fontId="1" fillId="14" borderId="1" xfId="0" applyFont="1" applyFill="1" applyBorder="1" applyProtection="1"/>
    <xf numFmtId="0" fontId="1" fillId="13" borderId="1" xfId="0" applyFont="1" applyFill="1" applyBorder="1" applyAlignment="1" applyProtection="1">
      <alignment wrapText="1"/>
    </xf>
    <xf numFmtId="0" fontId="1" fillId="3" borderId="26" xfId="0" applyFont="1" applyFill="1" applyBorder="1" applyProtection="1"/>
    <xf numFmtId="0" fontId="27" fillId="0" borderId="18" xfId="0" applyFont="1" applyBorder="1" applyAlignment="1" applyProtection="1">
      <alignment horizontal="center" wrapText="1"/>
    </xf>
    <xf numFmtId="0" fontId="0" fillId="0" borderId="0" xfId="0"/>
    <xf numFmtId="0" fontId="0" fillId="5" borderId="0" xfId="0" applyFill="1"/>
    <xf numFmtId="0" fontId="0" fillId="15" borderId="0" xfId="0" applyFill="1" applyProtection="1">
      <protection locked="0"/>
    </xf>
    <xf numFmtId="0" fontId="24" fillId="17" borderId="0" xfId="0" applyFont="1" applyFill="1" applyBorder="1" applyAlignment="1" applyProtection="1">
      <alignment vertical="center" wrapText="1"/>
      <protection locked="0"/>
    </xf>
    <xf numFmtId="0" fontId="0" fillId="17" borderId="0" xfId="0" applyFill="1" applyProtection="1">
      <protection locked="0"/>
    </xf>
    <xf numFmtId="0" fontId="43" fillId="17" borderId="0" xfId="0" applyFont="1" applyFill="1" applyBorder="1" applyAlignment="1" applyProtection="1">
      <alignment vertical="center" wrapText="1"/>
      <protection locked="0"/>
    </xf>
    <xf numFmtId="4" fontId="37" fillId="6" borderId="18" xfId="1" applyNumberFormat="1" applyFont="1" applyBorder="1" applyAlignment="1" applyProtection="1">
      <alignment horizontal="right"/>
      <protection locked="0"/>
    </xf>
    <xf numFmtId="4" fontId="37" fillId="6" borderId="54" xfId="1" applyNumberFormat="1" applyFont="1" applyBorder="1" applyAlignment="1" applyProtection="1">
      <alignment horizontal="right"/>
      <protection locked="0"/>
    </xf>
    <xf numFmtId="0" fontId="1" fillId="3" borderId="54" xfId="0" applyFont="1" applyFill="1" applyBorder="1" applyProtection="1"/>
    <xf numFmtId="0" fontId="1" fillId="13" borderId="54" xfId="0" applyFont="1" applyFill="1" applyBorder="1" applyProtection="1"/>
    <xf numFmtId="0" fontId="1" fillId="14" borderId="54" xfId="0" applyFont="1" applyFill="1" applyBorder="1" applyProtection="1"/>
    <xf numFmtId="0" fontId="0" fillId="0" borderId="0" xfId="0" applyAlignment="1">
      <alignment vertical="center"/>
    </xf>
    <xf numFmtId="0" fontId="27" fillId="0" borderId="18" xfId="0" applyFont="1" applyBorder="1" applyAlignment="1" applyProtection="1">
      <alignment horizontal="center"/>
    </xf>
    <xf numFmtId="0" fontId="27" fillId="0" borderId="54" xfId="0" applyFont="1" applyFill="1" applyBorder="1" applyProtection="1"/>
    <xf numFmtId="165" fontId="0" fillId="14" borderId="54" xfId="0" applyNumberFormat="1" applyFill="1" applyBorder="1" applyProtection="1"/>
    <xf numFmtId="0" fontId="1" fillId="14" borderId="29" xfId="0" applyFont="1" applyFill="1" applyBorder="1" applyProtection="1"/>
    <xf numFmtId="0" fontId="0" fillId="14" borderId="25" xfId="0" applyFill="1" applyBorder="1" applyProtection="1"/>
    <xf numFmtId="0" fontId="1" fillId="3" borderId="29" xfId="0" applyFont="1" applyFill="1" applyBorder="1" applyProtection="1"/>
    <xf numFmtId="0" fontId="0" fillId="3" borderId="25" xfId="0" applyFill="1" applyBorder="1" applyProtection="1"/>
    <xf numFmtId="0" fontId="0" fillId="13" borderId="29" xfId="0" applyFill="1" applyBorder="1" applyProtection="1"/>
    <xf numFmtId="0" fontId="0" fillId="14" borderId="29" xfId="0" applyFill="1" applyBorder="1" applyProtection="1"/>
    <xf numFmtId="0" fontId="0" fillId="13" borderId="30" xfId="0" applyFill="1" applyBorder="1" applyProtection="1"/>
    <xf numFmtId="0" fontId="0" fillId="13" borderId="27" xfId="0" applyFill="1" applyBorder="1" applyProtection="1"/>
    <xf numFmtId="165" fontId="0" fillId="13" borderId="54" xfId="0" applyNumberFormat="1" applyFill="1" applyBorder="1" applyProtection="1"/>
    <xf numFmtId="165" fontId="0" fillId="3" borderId="54" xfId="0" applyNumberFormat="1" applyFill="1" applyBorder="1" applyProtection="1"/>
    <xf numFmtId="165" fontId="0" fillId="3" borderId="26" xfId="0" applyNumberFormat="1" applyFill="1" applyBorder="1" applyProtection="1"/>
    <xf numFmtId="0" fontId="30" fillId="0" borderId="91" xfId="0" applyFont="1" applyFill="1" applyBorder="1" applyProtection="1"/>
    <xf numFmtId="0" fontId="0" fillId="13" borderId="90" xfId="0" applyFont="1" applyFill="1" applyBorder="1" applyProtection="1"/>
    <xf numFmtId="3" fontId="34" fillId="6" borderId="91" xfId="1" applyNumberFormat="1" applyFont="1" applyBorder="1" applyProtection="1">
      <protection locked="0"/>
    </xf>
    <xf numFmtId="0" fontId="0" fillId="3" borderId="92" xfId="0" applyFont="1" applyFill="1" applyBorder="1" applyProtection="1"/>
    <xf numFmtId="0" fontId="0" fillId="14" borderId="25" xfId="0" applyFill="1" applyBorder="1" applyAlignment="1" applyProtection="1">
      <alignment horizontal="center" vertical="center"/>
    </xf>
    <xf numFmtId="1" fontId="0" fillId="3" borderId="25" xfId="0" applyNumberFormat="1" applyFill="1" applyBorder="1" applyAlignment="1" applyProtection="1">
      <alignment horizontal="center" vertical="center"/>
    </xf>
    <xf numFmtId="1" fontId="0" fillId="13" borderId="25" xfId="0" applyNumberFormat="1" applyFill="1" applyBorder="1" applyAlignment="1" applyProtection="1">
      <alignment horizontal="center" vertical="center"/>
    </xf>
    <xf numFmtId="0" fontId="0" fillId="13" borderId="25" xfId="0" applyFill="1" applyBorder="1" applyAlignment="1" applyProtection="1">
      <alignment horizontal="center" vertical="center"/>
    </xf>
    <xf numFmtId="0" fontId="0" fillId="3" borderId="25" xfId="0" applyFill="1" applyBorder="1" applyAlignment="1" applyProtection="1">
      <alignment horizontal="center" vertical="center"/>
    </xf>
    <xf numFmtId="0" fontId="11" fillId="3" borderId="27" xfId="0" applyFont="1" applyFill="1" applyBorder="1" applyAlignment="1" applyProtection="1">
      <alignment horizontal="center" vertical="center"/>
    </xf>
    <xf numFmtId="1" fontId="0" fillId="14" borderId="25" xfId="0" applyNumberFormat="1" applyFill="1" applyBorder="1" applyAlignment="1" applyProtection="1">
      <alignment horizontal="center" vertical="center"/>
    </xf>
    <xf numFmtId="0" fontId="20" fillId="14" borderId="54" xfId="0" applyFont="1" applyFill="1" applyBorder="1" applyProtection="1"/>
    <xf numFmtId="0" fontId="20" fillId="13" borderId="54" xfId="0" applyFont="1" applyFill="1" applyBorder="1" applyProtection="1"/>
    <xf numFmtId="3" fontId="25" fillId="22" borderId="54" xfId="0" applyNumberFormat="1" applyFont="1" applyFill="1" applyBorder="1" applyAlignment="1" applyProtection="1">
      <alignment horizontal="right" vertical="center"/>
    </xf>
    <xf numFmtId="0" fontId="3" fillId="23" borderId="54" xfId="0" applyFont="1" applyFill="1" applyBorder="1" applyAlignment="1" applyProtection="1">
      <alignment horizontal="right"/>
    </xf>
    <xf numFmtId="0" fontId="3" fillId="24" borderId="54" xfId="0" applyFont="1" applyFill="1" applyBorder="1" applyAlignment="1" applyProtection="1">
      <alignment horizontal="right"/>
    </xf>
    <xf numFmtId="3" fontId="25" fillId="25" borderId="54" xfId="0" applyNumberFormat="1" applyFont="1" applyFill="1" applyBorder="1" applyAlignment="1" applyProtection="1">
      <alignment horizontal="right" vertical="center"/>
    </xf>
    <xf numFmtId="0" fontId="3" fillId="14" borderId="54" xfId="0" applyFont="1" applyFill="1" applyBorder="1" applyAlignment="1" applyProtection="1">
      <alignment horizontal="right"/>
    </xf>
    <xf numFmtId="0" fontId="20" fillId="3" borderId="54" xfId="0" applyFont="1" applyFill="1" applyBorder="1" applyProtection="1"/>
    <xf numFmtId="3" fontId="25" fillId="3" borderId="54" xfId="0" applyNumberFormat="1" applyFont="1" applyFill="1" applyBorder="1" applyAlignment="1" applyProtection="1">
      <alignment horizontal="right" vertical="center"/>
    </xf>
    <xf numFmtId="3" fontId="3" fillId="3" borderId="54" xfId="0" applyNumberFormat="1" applyFont="1" applyFill="1" applyBorder="1" applyAlignment="1" applyProtection="1">
      <alignment horizontal="right"/>
    </xf>
    <xf numFmtId="3" fontId="25" fillId="30" borderId="54" xfId="0" applyNumberFormat="1" applyFont="1" applyFill="1" applyBorder="1" applyAlignment="1" applyProtection="1">
      <alignment horizontal="right" vertical="center"/>
    </xf>
    <xf numFmtId="3" fontId="3" fillId="22" borderId="54" xfId="0" applyNumberFormat="1" applyFont="1" applyFill="1" applyBorder="1" applyAlignment="1" applyProtection="1">
      <alignment horizontal="right"/>
    </xf>
    <xf numFmtId="170" fontId="3" fillId="14" borderId="54" xfId="0" applyNumberFormat="1" applyFont="1" applyFill="1" applyBorder="1" applyAlignment="1" applyProtection="1">
      <alignment horizontal="right"/>
    </xf>
    <xf numFmtId="0" fontId="3" fillId="29" borderId="54" xfId="0" applyFont="1" applyFill="1" applyBorder="1" applyAlignment="1" applyProtection="1">
      <alignment horizontal="right"/>
    </xf>
    <xf numFmtId="10" fontId="37" fillId="6" borderId="18" xfId="1" applyNumberFormat="1" applyFont="1" applyBorder="1" applyAlignment="1" applyProtection="1">
      <alignment horizontal="right" vertical="center"/>
      <protection locked="0"/>
    </xf>
    <xf numFmtId="10" fontId="37" fillId="6" borderId="18" xfId="1" applyNumberFormat="1" applyFont="1" applyBorder="1" applyAlignment="1" applyProtection="1">
      <alignment horizontal="center" vertical="center"/>
      <protection locked="0"/>
    </xf>
    <xf numFmtId="0" fontId="1" fillId="14" borderId="1" xfId="0" applyFont="1" applyFill="1" applyBorder="1" applyAlignment="1" applyProtection="1">
      <alignment horizontal="right"/>
    </xf>
    <xf numFmtId="0" fontId="27" fillId="0" borderId="18" xfId="0" applyFont="1" applyBorder="1" applyAlignment="1" applyProtection="1">
      <alignment horizontal="center" vertical="center"/>
    </xf>
    <xf numFmtId="0" fontId="0" fillId="0" borderId="0" xfId="0" applyAlignment="1" applyProtection="1">
      <alignment vertical="center"/>
      <protection locked="0"/>
    </xf>
    <xf numFmtId="0" fontId="27" fillId="0" borderId="18" xfId="0" applyFont="1" applyBorder="1" applyAlignment="1" applyProtection="1">
      <alignment horizontal="center" vertical="center" wrapText="1"/>
    </xf>
    <xf numFmtId="0" fontId="0" fillId="10" borderId="91" xfId="0" applyFill="1" applyBorder="1" applyAlignment="1" applyProtection="1"/>
    <xf numFmtId="0" fontId="20" fillId="13" borderId="90" xfId="0" applyFont="1" applyFill="1" applyBorder="1" applyProtection="1"/>
    <xf numFmtId="0" fontId="20" fillId="14" borderId="90" xfId="0" applyFont="1" applyFill="1" applyBorder="1" applyProtection="1"/>
    <xf numFmtId="0" fontId="20" fillId="3" borderId="90" xfId="0" applyFont="1" applyFill="1" applyBorder="1" applyProtection="1"/>
    <xf numFmtId="10" fontId="2" fillId="13" borderId="18" xfId="0" applyNumberFormat="1" applyFont="1" applyFill="1" applyBorder="1" applyAlignment="1" applyProtection="1">
      <alignment horizontal="center" vertical="center"/>
    </xf>
    <xf numFmtId="10" fontId="2" fillId="14" borderId="18" xfId="0" applyNumberFormat="1" applyFont="1" applyFill="1" applyBorder="1" applyAlignment="1" applyProtection="1">
      <alignment horizontal="center" vertical="center"/>
    </xf>
    <xf numFmtId="10" fontId="2" fillId="3" borderId="18" xfId="0" applyNumberFormat="1" applyFont="1" applyFill="1" applyBorder="1" applyAlignment="1" applyProtection="1">
      <alignment horizontal="center" vertical="center"/>
    </xf>
    <xf numFmtId="10" fontId="49" fillId="13" borderId="18" xfId="0" applyNumberFormat="1" applyFont="1" applyFill="1" applyBorder="1" applyAlignment="1" applyProtection="1">
      <alignment horizontal="center" vertical="center"/>
    </xf>
    <xf numFmtId="10" fontId="49" fillId="14" borderId="18" xfId="0" applyNumberFormat="1" applyFont="1" applyFill="1" applyBorder="1" applyAlignment="1" applyProtection="1">
      <alignment horizontal="center" vertical="center"/>
    </xf>
    <xf numFmtId="10" fontId="49" fillId="3" borderId="18" xfId="0" applyNumberFormat="1" applyFont="1" applyFill="1" applyBorder="1" applyAlignment="1" applyProtection="1">
      <alignment horizontal="center" vertical="center"/>
    </xf>
    <xf numFmtId="0" fontId="1" fillId="13" borderId="1" xfId="0" applyFont="1" applyFill="1" applyBorder="1" applyAlignment="1" applyProtection="1">
      <alignment horizontal="left"/>
    </xf>
    <xf numFmtId="0" fontId="92" fillId="0" borderId="18" xfId="0" applyFont="1" applyBorder="1" applyAlignment="1" applyProtection="1">
      <alignment horizontal="center" vertical="center"/>
    </xf>
    <xf numFmtId="0" fontId="27" fillId="0" borderId="28" xfId="0" applyFont="1" applyBorder="1" applyAlignment="1" applyProtection="1">
      <alignment horizontal="center"/>
    </xf>
    <xf numFmtId="0" fontId="27" fillId="0" borderId="23" xfId="0" applyFont="1" applyBorder="1" applyAlignment="1" applyProtection="1">
      <alignment horizontal="center" vertical="center"/>
    </xf>
    <xf numFmtId="0" fontId="27" fillId="0" borderId="87" xfId="0" applyFont="1" applyBorder="1" applyAlignment="1" applyProtection="1">
      <alignment horizontal="center"/>
    </xf>
    <xf numFmtId="0" fontId="27" fillId="0" borderId="88" xfId="0" applyFont="1" applyBorder="1" applyAlignment="1" applyProtection="1">
      <alignment horizontal="center"/>
    </xf>
    <xf numFmtId="0" fontId="27" fillId="0" borderId="97" xfId="0" applyFont="1" applyBorder="1" applyAlignment="1" applyProtection="1">
      <alignment horizontal="center"/>
    </xf>
    <xf numFmtId="10" fontId="49" fillId="13" borderId="57" xfId="0" applyNumberFormat="1" applyFont="1" applyFill="1" applyBorder="1" applyAlignment="1" applyProtection="1">
      <alignment horizontal="center" vertical="center"/>
    </xf>
    <xf numFmtId="10" fontId="49" fillId="14" borderId="54" xfId="0" applyNumberFormat="1" applyFont="1" applyFill="1" applyBorder="1" applyAlignment="1" applyProtection="1">
      <alignment horizontal="center" vertical="center"/>
    </xf>
    <xf numFmtId="10" fontId="49" fillId="3" borderId="54" xfId="0" applyNumberFormat="1" applyFont="1" applyFill="1" applyBorder="1" applyAlignment="1" applyProtection="1">
      <alignment horizontal="center" vertical="center"/>
    </xf>
    <xf numFmtId="10" fontId="49" fillId="13" borderId="54" xfId="0" applyNumberFormat="1" applyFont="1" applyFill="1" applyBorder="1" applyAlignment="1" applyProtection="1">
      <alignment horizontal="center" vertical="center"/>
    </xf>
    <xf numFmtId="1" fontId="0" fillId="13" borderId="25" xfId="0" applyNumberFormat="1" applyFont="1" applyFill="1" applyBorder="1" applyAlignment="1" applyProtection="1">
      <alignment horizontal="center" vertical="center" wrapText="1"/>
    </xf>
    <xf numFmtId="3" fontId="37" fillId="6" borderId="18" xfId="1" applyNumberFormat="1" applyFont="1" applyBorder="1" applyAlignment="1" applyProtection="1">
      <alignment horizontal="center" vertical="center"/>
      <protection locked="0"/>
    </xf>
    <xf numFmtId="0" fontId="31" fillId="0" borderId="54" xfId="0" applyFont="1" applyFill="1" applyBorder="1" applyProtection="1"/>
    <xf numFmtId="3" fontId="25" fillId="38" borderId="54" xfId="0" applyNumberFormat="1" applyFont="1" applyFill="1" applyBorder="1" applyAlignment="1" applyProtection="1">
      <alignment horizontal="right" vertical="center"/>
    </xf>
    <xf numFmtId="0" fontId="3" fillId="40" borderId="54" xfId="0" applyFont="1" applyFill="1" applyBorder="1" applyAlignment="1" applyProtection="1">
      <alignment horizontal="right"/>
    </xf>
    <xf numFmtId="3" fontId="25" fillId="14" borderId="54" xfId="0" applyNumberFormat="1" applyFont="1" applyFill="1" applyBorder="1" applyAlignment="1" applyProtection="1">
      <alignment horizontal="right" vertical="center"/>
    </xf>
    <xf numFmtId="4" fontId="34" fillId="6" borderId="69" xfId="1" applyNumberFormat="1" applyFont="1" applyBorder="1" applyProtection="1">
      <protection locked="0"/>
    </xf>
    <xf numFmtId="4" fontId="34" fillId="6" borderId="54" xfId="1" applyNumberFormat="1" applyFont="1" applyBorder="1" applyProtection="1">
      <protection locked="0"/>
    </xf>
    <xf numFmtId="0" fontId="20" fillId="3" borderId="69" xfId="0" applyFont="1" applyFill="1" applyBorder="1" applyProtection="1"/>
    <xf numFmtId="0" fontId="97" fillId="13" borderId="18" xfId="0" applyFont="1" applyFill="1" applyBorder="1" applyAlignment="1" applyProtection="1">
      <alignment horizontal="justify" vertical="center"/>
    </xf>
    <xf numFmtId="0" fontId="97" fillId="14" borderId="18" xfId="0" applyFont="1" applyFill="1" applyBorder="1" applyAlignment="1" applyProtection="1">
      <alignment horizontal="justify" vertical="center"/>
    </xf>
    <xf numFmtId="0" fontId="97" fillId="3" borderId="18" xfId="0" applyFont="1" applyFill="1" applyBorder="1" applyAlignment="1" applyProtection="1">
      <alignment horizontal="justify" vertical="center"/>
    </xf>
    <xf numFmtId="0" fontId="97" fillId="3" borderId="18" xfId="0" applyFont="1" applyFill="1" applyBorder="1" applyAlignment="1" applyProtection="1">
      <alignment horizontal="left" vertical="center" wrapText="1"/>
    </xf>
    <xf numFmtId="0" fontId="27" fillId="0" borderId="23" xfId="0" applyFont="1" applyBorder="1" applyAlignment="1" applyProtection="1">
      <alignment horizontal="center" vertical="center" wrapText="1"/>
    </xf>
    <xf numFmtId="0" fontId="27" fillId="0" borderId="69" xfId="0" applyFont="1" applyBorder="1" applyAlignment="1" applyProtection="1">
      <alignment horizontal="center"/>
    </xf>
    <xf numFmtId="0" fontId="27" fillId="0" borderId="69" xfId="0" applyFont="1" applyBorder="1" applyAlignment="1" applyProtection="1">
      <alignment horizontal="center" wrapText="1"/>
    </xf>
    <xf numFmtId="0" fontId="11" fillId="13" borderId="54" xfId="0" applyFont="1" applyFill="1" applyBorder="1" applyAlignment="1" applyProtection="1">
      <alignment horizontal="justify"/>
    </xf>
    <xf numFmtId="0" fontId="11" fillId="14" borderId="54" xfId="0" applyFont="1" applyFill="1" applyBorder="1" applyAlignment="1" applyProtection="1">
      <alignment horizontal="justify"/>
    </xf>
    <xf numFmtId="0" fontId="11" fillId="3" borderId="54" xfId="0" applyFont="1" applyFill="1" applyBorder="1" applyAlignment="1" applyProtection="1">
      <alignment horizontal="justify"/>
    </xf>
    <xf numFmtId="3" fontId="2" fillId="13" borderId="54" xfId="0" applyNumberFormat="1" applyFont="1" applyFill="1" applyBorder="1" applyAlignment="1" applyProtection="1">
      <alignment horizontal="center" vertical="center"/>
    </xf>
    <xf numFmtId="3" fontId="2" fillId="14" borderId="54" xfId="0" applyNumberFormat="1" applyFont="1" applyFill="1" applyBorder="1" applyAlignment="1" applyProtection="1">
      <alignment horizontal="center" vertical="center"/>
    </xf>
    <xf numFmtId="3" fontId="2" fillId="3" borderId="54" xfId="0" applyNumberFormat="1" applyFont="1" applyFill="1" applyBorder="1" applyAlignment="1" applyProtection="1">
      <alignment horizontal="center" vertical="center"/>
    </xf>
    <xf numFmtId="9" fontId="2" fillId="13" borderId="54" xfId="14" applyFont="1" applyFill="1" applyBorder="1" applyAlignment="1" applyProtection="1">
      <alignment horizontal="center" vertical="center"/>
    </xf>
    <xf numFmtId="9" fontId="2" fillId="14" borderId="54" xfId="14" applyFont="1" applyFill="1" applyBorder="1" applyAlignment="1" applyProtection="1">
      <alignment horizontal="center" vertical="center"/>
    </xf>
    <xf numFmtId="9" fontId="2" fillId="3" borderId="54" xfId="14" applyFont="1" applyFill="1" applyBorder="1" applyAlignment="1" applyProtection="1">
      <alignment horizontal="center" vertical="center"/>
    </xf>
    <xf numFmtId="173" fontId="2" fillId="14" borderId="54" xfId="0" applyNumberFormat="1" applyFont="1" applyFill="1" applyBorder="1" applyAlignment="1" applyProtection="1">
      <alignment horizontal="center" vertical="center"/>
    </xf>
    <xf numFmtId="173" fontId="49" fillId="13" borderId="57" xfId="0" applyNumberFormat="1" applyFont="1" applyFill="1" applyBorder="1" applyAlignment="1" applyProtection="1">
      <alignment horizontal="center" vertical="center"/>
    </xf>
    <xf numFmtId="173" fontId="49" fillId="14" borderId="1" xfId="0" applyNumberFormat="1" applyFont="1" applyFill="1" applyBorder="1" applyAlignment="1" applyProtection="1">
      <alignment horizontal="center" vertical="center"/>
    </xf>
    <xf numFmtId="173" fontId="49" fillId="3" borderId="1" xfId="0" applyNumberFormat="1" applyFont="1" applyFill="1" applyBorder="1" applyAlignment="1" applyProtection="1">
      <alignment horizontal="center" vertical="center"/>
    </xf>
    <xf numFmtId="173" fontId="49" fillId="13" borderId="1" xfId="0" applyNumberFormat="1" applyFont="1" applyFill="1" applyBorder="1" applyAlignment="1" applyProtection="1">
      <alignment horizontal="center" vertical="center"/>
    </xf>
    <xf numFmtId="0" fontId="11" fillId="3" borderId="54" xfId="0" applyFont="1" applyFill="1" applyBorder="1" applyAlignment="1" applyProtection="1">
      <alignment horizontal="left"/>
    </xf>
    <xf numFmtId="0" fontId="11" fillId="13" borderId="54" xfId="0" applyFont="1" applyFill="1" applyBorder="1" applyAlignment="1" applyProtection="1">
      <alignment horizontal="left"/>
    </xf>
    <xf numFmtId="0" fontId="11" fillId="14" borderId="54" xfId="0" applyFont="1" applyFill="1" applyBorder="1" applyAlignment="1" applyProtection="1">
      <alignment horizontal="left"/>
    </xf>
    <xf numFmtId="0" fontId="20" fillId="14" borderId="106" xfId="0" applyFont="1" applyFill="1" applyBorder="1" applyProtection="1"/>
    <xf numFmtId="3" fontId="56" fillId="14" borderId="69" xfId="0" applyNumberFormat="1" applyFont="1" applyFill="1" applyBorder="1" applyAlignment="1" applyProtection="1">
      <alignment vertical="center"/>
    </xf>
    <xf numFmtId="3" fontId="56" fillId="3" borderId="54" xfId="0" applyNumberFormat="1" applyFont="1" applyFill="1" applyBorder="1" applyAlignment="1" applyProtection="1">
      <alignment vertical="center"/>
    </xf>
    <xf numFmtId="0" fontId="60" fillId="0" borderId="91" xfId="0" applyFont="1" applyFill="1" applyBorder="1" applyProtection="1"/>
    <xf numFmtId="0" fontId="20" fillId="3" borderId="29" xfId="0" applyFont="1" applyFill="1" applyBorder="1" applyProtection="1"/>
    <xf numFmtId="0" fontId="20" fillId="13" borderId="30" xfId="0" applyFont="1" applyFill="1" applyBorder="1" applyProtection="1"/>
    <xf numFmtId="1" fontId="34" fillId="31" borderId="69" xfId="1" applyNumberFormat="1" applyFont="1" applyFill="1" applyBorder="1" applyProtection="1">
      <protection locked="0"/>
    </xf>
    <xf numFmtId="1" fontId="34" fillId="6" borderId="69" xfId="1" applyNumberFormat="1" applyFont="1" applyBorder="1" applyProtection="1">
      <protection locked="0"/>
    </xf>
    <xf numFmtId="1" fontId="34" fillId="31" borderId="54" xfId="1" applyNumberFormat="1" applyFont="1" applyFill="1" applyBorder="1" applyProtection="1">
      <protection locked="0"/>
    </xf>
    <xf numFmtId="1" fontId="34" fillId="6" borderId="54" xfId="1" applyNumberFormat="1" applyFont="1" applyBorder="1" applyProtection="1">
      <protection locked="0"/>
    </xf>
    <xf numFmtId="1" fontId="34" fillId="31" borderId="91" xfId="1" applyNumberFormat="1" applyFont="1" applyFill="1" applyBorder="1" applyProtection="1">
      <protection locked="0"/>
    </xf>
    <xf numFmtId="1" fontId="34" fillId="6" borderId="91" xfId="1" applyNumberFormat="1" applyFont="1" applyBorder="1" applyProtection="1">
      <protection locked="0"/>
    </xf>
    <xf numFmtId="0" fontId="20" fillId="13" borderId="106" xfId="0" applyFont="1" applyFill="1" applyBorder="1" applyProtection="1"/>
    <xf numFmtId="1" fontId="34" fillId="31" borderId="107" xfId="1" applyNumberFormat="1" applyFont="1" applyFill="1" applyBorder="1" applyProtection="1">
      <protection locked="0"/>
    </xf>
    <xf numFmtId="0" fontId="20" fillId="14" borderId="29" xfId="0" applyFont="1" applyFill="1" applyBorder="1" applyProtection="1"/>
    <xf numFmtId="1" fontId="34" fillId="31" borderId="25" xfId="1" applyNumberFormat="1" applyFont="1" applyFill="1" applyBorder="1" applyProtection="1">
      <protection locked="0"/>
    </xf>
    <xf numFmtId="1" fontId="34" fillId="6" borderId="26" xfId="1" applyNumberFormat="1" applyFont="1" applyBorder="1" applyProtection="1">
      <protection locked="0"/>
    </xf>
    <xf numFmtId="1" fontId="34" fillId="31" borderId="26" xfId="1" applyNumberFormat="1" applyFont="1" applyFill="1" applyBorder="1" applyProtection="1">
      <protection locked="0"/>
    </xf>
    <xf numFmtId="1" fontId="34" fillId="43" borderId="27" xfId="1" applyNumberFormat="1" applyFont="1" applyFill="1" applyBorder="1" applyProtection="1">
      <protection locked="0"/>
    </xf>
    <xf numFmtId="3" fontId="3" fillId="44" borderId="1" xfId="0" applyNumberFormat="1" applyFont="1" applyFill="1" applyBorder="1" applyAlignment="1" applyProtection="1">
      <alignment horizontal="right"/>
    </xf>
    <xf numFmtId="3" fontId="25" fillId="45" borderId="54" xfId="0" applyNumberFormat="1" applyFont="1" applyFill="1" applyBorder="1" applyAlignment="1" applyProtection="1">
      <alignment horizontal="right" vertical="center"/>
    </xf>
    <xf numFmtId="3" fontId="25" fillId="46" borderId="54" xfId="0" applyNumberFormat="1" applyFont="1" applyFill="1" applyBorder="1" applyAlignment="1" applyProtection="1">
      <alignment horizontal="right" vertical="center"/>
    </xf>
    <xf numFmtId="3" fontId="25" fillId="47" borderId="1" xfId="0" applyNumberFormat="1" applyFont="1" applyFill="1" applyBorder="1" applyAlignment="1" applyProtection="1">
      <alignment horizontal="right" vertical="center"/>
    </xf>
    <xf numFmtId="0" fontId="3" fillId="49" borderId="54" xfId="0" applyFont="1" applyFill="1" applyBorder="1" applyAlignment="1" applyProtection="1">
      <alignment horizontal="right"/>
    </xf>
    <xf numFmtId="0" fontId="3" fillId="44" borderId="54" xfId="0" applyFont="1" applyFill="1" applyBorder="1" applyAlignment="1" applyProtection="1">
      <alignment horizontal="right"/>
    </xf>
    <xf numFmtId="3" fontId="25" fillId="48" borderId="54" xfId="0" applyNumberFormat="1" applyFont="1" applyFill="1" applyBorder="1" applyAlignment="1" applyProtection="1">
      <alignment horizontal="right" vertical="center"/>
    </xf>
    <xf numFmtId="3" fontId="1" fillId="48" borderId="54" xfId="0" applyNumberFormat="1" applyFont="1" applyFill="1" applyBorder="1" applyAlignment="1" applyProtection="1">
      <alignment horizontal="right"/>
    </xf>
    <xf numFmtId="3" fontId="25" fillId="38" borderId="1" xfId="0" applyNumberFormat="1" applyFont="1" applyFill="1" applyBorder="1" applyAlignment="1" applyProtection="1">
      <alignment horizontal="right" vertical="center"/>
    </xf>
    <xf numFmtId="173" fontId="3" fillId="14" borderId="54" xfId="0" applyNumberFormat="1" applyFont="1" applyFill="1" applyBorder="1" applyAlignment="1" applyProtection="1">
      <alignment horizontal="right"/>
    </xf>
    <xf numFmtId="10" fontId="49" fillId="51" borderId="18" xfId="0" applyNumberFormat="1" applyFont="1" applyFill="1" applyBorder="1" applyAlignment="1" applyProtection="1">
      <alignment horizontal="center" vertical="center"/>
    </xf>
    <xf numFmtId="10" fontId="49" fillId="44" borderId="18" xfId="0" applyNumberFormat="1" applyFont="1" applyFill="1" applyBorder="1" applyAlignment="1" applyProtection="1">
      <alignment horizontal="center" vertical="center"/>
    </xf>
    <xf numFmtId="10" fontId="49" fillId="47" borderId="18" xfId="0" applyNumberFormat="1" applyFont="1" applyFill="1" applyBorder="1" applyAlignment="1" applyProtection="1">
      <alignment horizontal="center" vertical="center"/>
    </xf>
    <xf numFmtId="0" fontId="9" fillId="15" borderId="0" xfId="0" applyFont="1" applyFill="1" applyProtection="1"/>
    <xf numFmtId="0" fontId="0" fillId="17" borderId="0" xfId="0" applyFill="1" applyBorder="1" applyProtection="1"/>
    <xf numFmtId="0" fontId="24" fillId="17" borderId="0" xfId="0" applyFont="1" applyFill="1" applyBorder="1" applyAlignment="1" applyProtection="1">
      <alignment vertical="center" wrapText="1"/>
    </xf>
    <xf numFmtId="0" fontId="0" fillId="13" borderId="18" xfId="0" applyFont="1" applyFill="1" applyBorder="1" applyProtection="1"/>
    <xf numFmtId="0" fontId="9" fillId="13" borderId="18" xfId="0" applyFont="1" applyFill="1" applyBorder="1" applyAlignment="1" applyProtection="1">
      <alignment horizontal="center" vertical="center"/>
    </xf>
    <xf numFmtId="0" fontId="0" fillId="14" borderId="18" xfId="0" applyFont="1" applyFill="1" applyBorder="1" applyProtection="1"/>
    <xf numFmtId="0" fontId="1" fillId="14" borderId="18" xfId="0" applyFont="1" applyFill="1" applyBorder="1" applyAlignment="1" applyProtection="1">
      <alignment horizontal="center" vertical="center"/>
    </xf>
    <xf numFmtId="0" fontId="8" fillId="14" borderId="18" xfId="0" applyFont="1" applyFill="1" applyBorder="1" applyAlignment="1" applyProtection="1">
      <alignment horizontal="center" vertical="center"/>
    </xf>
    <xf numFmtId="0" fontId="0" fillId="3" borderId="18" xfId="0" applyFont="1" applyFill="1" applyBorder="1" applyProtection="1"/>
    <xf numFmtId="0" fontId="1" fillId="3" borderId="18" xfId="0" applyFont="1" applyFill="1" applyBorder="1" applyAlignment="1" applyProtection="1">
      <alignment horizontal="center" vertical="center"/>
    </xf>
    <xf numFmtId="0" fontId="1" fillId="3" borderId="69" xfId="0" applyFont="1" applyFill="1" applyBorder="1" applyAlignment="1" applyProtection="1">
      <alignment horizontal="center" vertical="center"/>
    </xf>
    <xf numFmtId="0" fontId="1" fillId="3" borderId="54" xfId="0" applyFont="1" applyFill="1" applyBorder="1" applyAlignment="1" applyProtection="1">
      <alignment horizontal="center" vertical="center"/>
    </xf>
    <xf numFmtId="0" fontId="24" fillId="0" borderId="1" xfId="0" applyFont="1" applyFill="1" applyBorder="1" applyAlignment="1" applyProtection="1">
      <alignment horizontal="center"/>
    </xf>
    <xf numFmtId="166" fontId="49" fillId="13" borderId="1" xfId="0" applyNumberFormat="1" applyFont="1" applyFill="1" applyBorder="1" applyAlignment="1" applyProtection="1">
      <alignment horizontal="center"/>
    </xf>
    <xf numFmtId="166" fontId="50" fillId="13" borderId="1" xfId="0" applyNumberFormat="1" applyFont="1" applyFill="1" applyBorder="1" applyAlignment="1" applyProtection="1">
      <alignment horizontal="center"/>
    </xf>
    <xf numFmtId="166" fontId="50" fillId="14" borderId="1" xfId="0" applyNumberFormat="1" applyFont="1" applyFill="1" applyBorder="1" applyAlignment="1" applyProtection="1">
      <alignment horizontal="center"/>
    </xf>
    <xf numFmtId="166" fontId="50" fillId="3" borderId="1" xfId="0" applyNumberFormat="1" applyFont="1" applyFill="1" applyBorder="1" applyAlignment="1" applyProtection="1">
      <alignment horizontal="center"/>
    </xf>
    <xf numFmtId="166" fontId="49" fillId="14" borderId="1" xfId="0" applyNumberFormat="1" applyFont="1" applyFill="1" applyBorder="1" applyAlignment="1" applyProtection="1">
      <alignment horizontal="center"/>
    </xf>
    <xf numFmtId="166" fontId="50" fillId="13" borderId="54" xfId="0" applyNumberFormat="1" applyFont="1" applyFill="1" applyBorder="1" applyAlignment="1" applyProtection="1">
      <alignment horizontal="center"/>
    </xf>
    <xf numFmtId="0" fontId="29" fillId="16" borderId="1" xfId="0" applyFont="1" applyFill="1" applyBorder="1" applyAlignment="1" applyProtection="1">
      <alignment horizontal="center" vertical="center" wrapText="1"/>
    </xf>
    <xf numFmtId="4" fontId="50" fillId="13" borderId="1" xfId="0" applyNumberFormat="1" applyFont="1" applyFill="1" applyBorder="1" applyAlignment="1" applyProtection="1">
      <alignment horizontal="right"/>
    </xf>
    <xf numFmtId="4" fontId="50" fillId="34" borderId="1" xfId="0" applyNumberFormat="1" applyFont="1" applyFill="1" applyBorder="1" applyAlignment="1" applyProtection="1">
      <alignment horizontal="right"/>
    </xf>
    <xf numFmtId="4" fontId="50" fillId="14" borderId="1" xfId="0" applyNumberFormat="1" applyFont="1" applyFill="1" applyBorder="1" applyAlignment="1" applyProtection="1">
      <alignment horizontal="right"/>
    </xf>
    <xf numFmtId="4" fontId="50" fillId="29" borderId="1" xfId="0" applyNumberFormat="1" applyFont="1" applyFill="1" applyBorder="1" applyAlignment="1" applyProtection="1">
      <alignment horizontal="right"/>
    </xf>
    <xf numFmtId="4" fontId="50" fillId="3" borderId="1" xfId="0" applyNumberFormat="1" applyFont="1" applyFill="1" applyBorder="1" applyAlignment="1" applyProtection="1">
      <alignment horizontal="right"/>
    </xf>
    <xf numFmtId="4" fontId="50" fillId="27" borderId="1" xfId="0" applyNumberFormat="1" applyFont="1" applyFill="1" applyBorder="1" applyAlignment="1" applyProtection="1">
      <alignment horizontal="right"/>
    </xf>
    <xf numFmtId="4" fontId="50" fillId="13" borderId="54" xfId="0" applyNumberFormat="1" applyFont="1" applyFill="1" applyBorder="1" applyAlignment="1" applyProtection="1">
      <alignment horizontal="right"/>
    </xf>
    <xf numFmtId="4" fontId="50" fillId="34" borderId="54" xfId="0" applyNumberFormat="1" applyFont="1" applyFill="1" applyBorder="1" applyAlignment="1" applyProtection="1">
      <alignment horizontal="right"/>
    </xf>
    <xf numFmtId="0" fontId="29" fillId="16" borderId="1" xfId="0" applyFont="1" applyFill="1" applyBorder="1" applyAlignment="1" applyProtection="1">
      <alignment horizontal="center" wrapText="1"/>
    </xf>
    <xf numFmtId="0" fontId="29" fillId="16" borderId="1" xfId="0" applyFont="1" applyFill="1" applyBorder="1" applyAlignment="1" applyProtection="1">
      <alignment horizontal="justify" wrapText="1"/>
    </xf>
    <xf numFmtId="4" fontId="64" fillId="14" borderId="1" xfId="0" applyNumberFormat="1" applyFont="1" applyFill="1" applyBorder="1" applyAlignment="1" applyProtection="1">
      <alignment horizontal="right"/>
    </xf>
    <xf numFmtId="4" fontId="50" fillId="22" borderId="1" xfId="0" applyNumberFormat="1" applyFont="1" applyFill="1" applyBorder="1" applyAlignment="1" applyProtection="1">
      <alignment horizontal="right"/>
    </xf>
    <xf numFmtId="4" fontId="64" fillId="13" borderId="1" xfId="0" applyNumberFormat="1" applyFont="1" applyFill="1" applyBorder="1" applyAlignment="1" applyProtection="1">
      <alignment horizontal="right"/>
    </xf>
    <xf numFmtId="4" fontId="64" fillId="3" borderId="1" xfId="0" applyNumberFormat="1" applyFont="1" applyFill="1" applyBorder="1" applyAlignment="1" applyProtection="1">
      <alignment horizontal="right"/>
    </xf>
    <xf numFmtId="0" fontId="0" fillId="17" borderId="0" xfId="0" applyFill="1" applyProtection="1"/>
    <xf numFmtId="0" fontId="63" fillId="19" borderId="0" xfId="0" applyFont="1" applyFill="1" applyProtection="1"/>
    <xf numFmtId="0" fontId="12" fillId="19" borderId="0" xfId="0" applyFont="1" applyFill="1" applyBorder="1" applyProtection="1"/>
    <xf numFmtId="0" fontId="61" fillId="19" borderId="0" xfId="2" applyFont="1" applyFill="1" applyBorder="1" applyProtection="1"/>
    <xf numFmtId="0" fontId="62" fillId="19" borderId="0" xfId="2" applyFont="1" applyFill="1" applyBorder="1" applyAlignment="1" applyProtection="1">
      <alignment vertical="center"/>
    </xf>
    <xf numFmtId="0" fontId="12" fillId="19" borderId="0" xfId="0" applyFont="1" applyFill="1" applyProtection="1"/>
    <xf numFmtId="0" fontId="9" fillId="8" borderId="0" xfId="0" applyFont="1" applyFill="1" applyProtection="1"/>
    <xf numFmtId="0" fontId="0" fillId="5" borderId="70" xfId="0" applyFill="1" applyBorder="1" applyProtection="1"/>
    <xf numFmtId="0" fontId="0" fillId="5" borderId="71" xfId="0" applyFill="1" applyBorder="1" applyProtection="1"/>
    <xf numFmtId="0" fontId="0" fillId="5" borderId="72" xfId="0" applyFill="1" applyBorder="1" applyProtection="1"/>
    <xf numFmtId="0" fontId="9" fillId="15" borderId="0" xfId="0" applyFont="1" applyFill="1" applyAlignment="1" applyProtection="1">
      <alignment vertical="center"/>
    </xf>
    <xf numFmtId="0" fontId="0" fillId="5" borderId="73" xfId="0" applyFill="1" applyBorder="1" applyAlignment="1" applyProtection="1">
      <alignment vertical="center"/>
    </xf>
    <xf numFmtId="0" fontId="32" fillId="6" borderId="54" xfId="1" applyFont="1" applyBorder="1" applyAlignment="1" applyProtection="1">
      <alignment vertical="center"/>
    </xf>
    <xf numFmtId="0" fontId="0" fillId="5" borderId="55" xfId="0" applyFill="1" applyBorder="1" applyAlignment="1" applyProtection="1">
      <alignment vertical="center"/>
    </xf>
    <xf numFmtId="0" fontId="0" fillId="5" borderId="0" xfId="0" applyFill="1" applyBorder="1" applyAlignment="1" applyProtection="1">
      <alignment vertical="center"/>
    </xf>
    <xf numFmtId="0" fontId="0" fillId="5" borderId="74" xfId="0" applyFill="1" applyBorder="1" applyAlignment="1" applyProtection="1">
      <alignment vertical="center"/>
    </xf>
    <xf numFmtId="0" fontId="0" fillId="5" borderId="73" xfId="0" applyFill="1" applyBorder="1" applyProtection="1"/>
    <xf numFmtId="0" fontId="0" fillId="5" borderId="0" xfId="0" applyFill="1" applyBorder="1" applyProtection="1"/>
    <xf numFmtId="0" fontId="0" fillId="5" borderId="74" xfId="0" applyFill="1" applyBorder="1" applyProtection="1"/>
    <xf numFmtId="0" fontId="9" fillId="5" borderId="73" xfId="0" applyFont="1" applyFill="1" applyBorder="1" applyAlignment="1" applyProtection="1">
      <alignment vertical="center"/>
    </xf>
    <xf numFmtId="3" fontId="3" fillId="33" borderId="18" xfId="0" applyNumberFormat="1" applyFont="1" applyFill="1" applyBorder="1" applyAlignment="1" applyProtection="1">
      <alignment vertical="center"/>
    </xf>
    <xf numFmtId="0" fontId="1" fillId="5" borderId="0" xfId="0" applyFont="1" applyFill="1" applyBorder="1" applyAlignment="1" applyProtection="1">
      <alignment vertical="center"/>
    </xf>
    <xf numFmtId="0" fontId="9" fillId="5" borderId="0" xfId="0" applyFont="1" applyFill="1" applyBorder="1" applyAlignment="1" applyProtection="1">
      <alignment vertical="center"/>
    </xf>
    <xf numFmtId="0" fontId="9" fillId="5" borderId="74" xfId="0" applyFont="1" applyFill="1" applyBorder="1" applyAlignment="1" applyProtection="1">
      <alignment vertical="center"/>
    </xf>
    <xf numFmtId="0" fontId="9" fillId="5" borderId="73" xfId="0" applyFont="1" applyFill="1" applyBorder="1" applyProtection="1"/>
    <xf numFmtId="0" fontId="1" fillId="5" borderId="0" xfId="0" applyFont="1" applyFill="1" applyBorder="1" applyProtection="1"/>
    <xf numFmtId="0" fontId="9" fillId="5" borderId="0" xfId="0" applyFont="1" applyFill="1" applyBorder="1" applyProtection="1"/>
    <xf numFmtId="0" fontId="9" fillId="5" borderId="74" xfId="0" applyFont="1" applyFill="1" applyBorder="1" applyProtection="1"/>
    <xf numFmtId="0" fontId="51" fillId="18" borderId="18" xfId="0" applyFont="1" applyFill="1" applyBorder="1" applyAlignment="1" applyProtection="1">
      <alignment vertical="center"/>
    </xf>
    <xf numFmtId="0" fontId="0" fillId="5" borderId="0" xfId="0" applyFill="1" applyBorder="1" applyAlignment="1" applyProtection="1">
      <alignment horizontal="left"/>
    </xf>
    <xf numFmtId="0" fontId="88" fillId="0" borderId="54" xfId="0" applyFont="1" applyBorder="1" applyAlignment="1" applyProtection="1">
      <alignment vertical="center"/>
    </xf>
    <xf numFmtId="0" fontId="9" fillId="5" borderId="75" xfId="0" applyFont="1" applyFill="1" applyBorder="1" applyProtection="1"/>
    <xf numFmtId="0" fontId="0" fillId="5" borderId="76" xfId="0" applyFill="1" applyBorder="1" applyProtection="1"/>
    <xf numFmtId="0" fontId="9" fillId="5" borderId="76" xfId="0" applyFont="1" applyFill="1" applyBorder="1" applyProtection="1"/>
    <xf numFmtId="0" fontId="9" fillId="5" borderId="77" xfId="0" applyFont="1" applyFill="1" applyBorder="1" applyProtection="1"/>
    <xf numFmtId="0" fontId="0" fillId="5" borderId="34" xfId="0" applyFill="1" applyBorder="1" applyProtection="1"/>
    <xf numFmtId="0" fontId="0" fillId="5" borderId="35" xfId="0" applyFill="1" applyBorder="1" applyProtection="1"/>
    <xf numFmtId="0" fontId="52" fillId="5" borderId="34" xfId="538" applyFill="1" applyBorder="1" applyProtection="1"/>
    <xf numFmtId="0" fontId="18" fillId="5" borderId="0" xfId="0" applyFont="1" applyFill="1" applyBorder="1" applyProtection="1"/>
    <xf numFmtId="0" fontId="18" fillId="5" borderId="34" xfId="0" applyFont="1" applyFill="1" applyBorder="1" applyProtection="1"/>
    <xf numFmtId="0" fontId="52" fillId="5" borderId="34" xfId="538" applyFill="1" applyBorder="1" applyAlignment="1" applyProtection="1">
      <alignment horizontal="justify"/>
    </xf>
    <xf numFmtId="0" fontId="52" fillId="5" borderId="36" xfId="538" applyFill="1" applyBorder="1" applyProtection="1"/>
    <xf numFmtId="0" fontId="18" fillId="5" borderId="37" xfId="0" applyFont="1" applyFill="1" applyBorder="1" applyProtection="1"/>
    <xf numFmtId="0" fontId="0" fillId="5" borderId="38" xfId="0" applyFill="1" applyBorder="1" applyProtection="1"/>
    <xf numFmtId="0" fontId="0" fillId="15" borderId="0" xfId="0" applyFill="1" applyProtection="1"/>
    <xf numFmtId="0" fontId="24" fillId="15" borderId="0" xfId="0" applyFont="1" applyFill="1" applyBorder="1" applyAlignment="1" applyProtection="1">
      <alignment vertical="center" wrapText="1"/>
    </xf>
    <xf numFmtId="0" fontId="0" fillId="0" borderId="0" xfId="0" applyProtection="1"/>
    <xf numFmtId="0" fontId="0" fillId="15" borderId="0" xfId="0" applyFill="1" applyBorder="1" applyProtection="1"/>
    <xf numFmtId="3" fontId="0" fillId="0" borderId="0" xfId="0" applyNumberFormat="1" applyProtection="1"/>
    <xf numFmtId="173" fontId="3" fillId="39" borderId="54" xfId="0" applyNumberFormat="1" applyFont="1" applyFill="1" applyBorder="1" applyAlignment="1" applyProtection="1">
      <alignment horizontal="right"/>
    </xf>
    <xf numFmtId="0" fontId="3" fillId="39" borderId="54" xfId="0" applyFont="1" applyFill="1" applyBorder="1" applyAlignment="1" applyProtection="1">
      <alignment horizontal="right"/>
    </xf>
    <xf numFmtId="0" fontId="3" fillId="3" borderId="54" xfId="0" applyFont="1" applyFill="1" applyBorder="1" applyAlignment="1" applyProtection="1">
      <alignment horizontal="right"/>
    </xf>
    <xf numFmtId="170" fontId="0" fillId="0" borderId="0" xfId="0" applyNumberFormat="1" applyProtection="1"/>
    <xf numFmtId="173" fontId="3" fillId="0" borderId="54" xfId="0" applyNumberFormat="1" applyFont="1" applyBorder="1" applyAlignment="1" applyProtection="1">
      <alignment horizontal="right"/>
    </xf>
    <xf numFmtId="3" fontId="3" fillId="30" borderId="1" xfId="0" applyNumberFormat="1" applyFont="1" applyFill="1" applyBorder="1" applyAlignment="1" applyProtection="1">
      <alignment horizontal="right"/>
    </xf>
    <xf numFmtId="0" fontId="3" fillId="30" borderId="54" xfId="0" applyFont="1" applyFill="1" applyBorder="1" applyAlignment="1" applyProtection="1">
      <alignment horizontal="right"/>
    </xf>
    <xf numFmtId="3" fontId="0" fillId="25" borderId="1" xfId="0" applyNumberFormat="1" applyFill="1" applyBorder="1" applyProtection="1"/>
    <xf numFmtId="3" fontId="0" fillId="13" borderId="1" xfId="0" applyNumberFormat="1" applyFill="1" applyBorder="1" applyProtection="1"/>
    <xf numFmtId="0" fontId="0" fillId="25" borderId="54" xfId="0" applyFill="1" applyBorder="1" applyProtection="1"/>
    <xf numFmtId="0" fontId="0" fillId="50" borderId="54" xfId="0" applyFill="1" applyBorder="1" applyProtection="1"/>
    <xf numFmtId="170" fontId="0" fillId="13" borderId="54" xfId="0" applyNumberFormat="1" applyFill="1" applyBorder="1" applyProtection="1"/>
    <xf numFmtId="3" fontId="3" fillId="26" borderId="1" xfId="0" applyNumberFormat="1" applyFont="1" applyFill="1" applyBorder="1" applyAlignment="1" applyProtection="1">
      <alignment horizontal="right"/>
    </xf>
    <xf numFmtId="0" fontId="3" fillId="26" borderId="54" xfId="0" applyFont="1" applyFill="1" applyBorder="1" applyAlignment="1" applyProtection="1">
      <alignment horizontal="right"/>
    </xf>
    <xf numFmtId="2" fontId="0" fillId="0" borderId="54" xfId="0" applyNumberFormat="1" applyBorder="1" applyProtection="1"/>
    <xf numFmtId="0" fontId="47" fillId="7" borderId="18" xfId="0" applyFont="1" applyFill="1" applyBorder="1" applyProtection="1"/>
    <xf numFmtId="3" fontId="3" fillId="33" borderId="93" xfId="0" applyNumberFormat="1" applyFont="1" applyFill="1" applyBorder="1" applyProtection="1"/>
    <xf numFmtId="3" fontId="3" fillId="33" borderId="94" xfId="0" applyNumberFormat="1" applyFont="1" applyFill="1" applyBorder="1" applyProtection="1"/>
    <xf numFmtId="3" fontId="59" fillId="13" borderId="42" xfId="1" applyNumberFormat="1" applyFont="1" applyFill="1" applyBorder="1" applyProtection="1"/>
    <xf numFmtId="0" fontId="0" fillId="3" borderId="29" xfId="0" applyFill="1" applyBorder="1" applyProtection="1"/>
    <xf numFmtId="165" fontId="0" fillId="15" borderId="0" xfId="0" applyNumberFormat="1" applyFill="1" applyProtection="1"/>
    <xf numFmtId="164" fontId="0" fillId="15" borderId="0" xfId="0" applyNumberFormat="1" applyFill="1" applyProtection="1"/>
    <xf numFmtId="0" fontId="9" fillId="15" borderId="0" xfId="0" applyFont="1" applyFill="1" applyBorder="1" applyProtection="1"/>
    <xf numFmtId="0" fontId="20" fillId="15" borderId="0" xfId="0" applyFont="1" applyFill="1" applyAlignment="1" applyProtection="1"/>
    <xf numFmtId="0" fontId="33" fillId="8" borderId="0" xfId="0" applyFont="1" applyFill="1" applyAlignment="1" applyProtection="1">
      <alignment horizontal="left"/>
    </xf>
    <xf numFmtId="0" fontId="46" fillId="8" borderId="0" xfId="0" applyFont="1" applyFill="1" applyAlignment="1" applyProtection="1">
      <alignment horizontal="left"/>
    </xf>
    <xf numFmtId="0" fontId="8" fillId="15" borderId="0" xfId="0" applyFont="1" applyFill="1" applyProtection="1"/>
    <xf numFmtId="0" fontId="43" fillId="17" borderId="0" xfId="0" applyFont="1" applyFill="1" applyBorder="1" applyAlignment="1" applyProtection="1">
      <alignment vertical="center" wrapText="1"/>
    </xf>
    <xf numFmtId="0" fontId="70" fillId="20" borderId="0" xfId="0" applyFont="1" applyFill="1" applyProtection="1"/>
    <xf numFmtId="0" fontId="8" fillId="8" borderId="0" xfId="0" applyFont="1" applyFill="1" applyProtection="1"/>
    <xf numFmtId="0" fontId="0" fillId="0" borderId="18" xfId="0" applyBorder="1" applyAlignment="1" applyProtection="1">
      <alignment vertical="center"/>
    </xf>
    <xf numFmtId="0" fontId="11" fillId="15" borderId="8" xfId="0" applyFont="1" applyFill="1" applyBorder="1" applyAlignment="1" applyProtection="1">
      <alignment horizontal="center" vertical="center"/>
    </xf>
    <xf numFmtId="10" fontId="8" fillId="8" borderId="0" xfId="0" applyNumberFormat="1" applyFont="1" applyFill="1" applyProtection="1"/>
    <xf numFmtId="171" fontId="8" fillId="8" borderId="0" xfId="0" applyNumberFormat="1" applyFont="1" applyFill="1" applyProtection="1"/>
    <xf numFmtId="168" fontId="8" fillId="8" borderId="0" xfId="0" applyNumberFormat="1" applyFont="1" applyFill="1" applyProtection="1"/>
    <xf numFmtId="0" fontId="2" fillId="15" borderId="8" xfId="0" applyFont="1" applyFill="1" applyBorder="1" applyAlignment="1" applyProtection="1">
      <alignment horizontal="center" vertical="center"/>
    </xf>
    <xf numFmtId="0" fontId="0" fillId="0" borderId="1" xfId="0" applyBorder="1" applyProtection="1"/>
    <xf numFmtId="0" fontId="0" fillId="15" borderId="54" xfId="0" applyFill="1" applyBorder="1" applyProtection="1"/>
    <xf numFmtId="10" fontId="0" fillId="15" borderId="54" xfId="0" applyNumberFormat="1" applyFill="1" applyBorder="1" applyProtection="1"/>
    <xf numFmtId="0" fontId="1" fillId="8" borderId="0" xfId="0" applyFont="1" applyFill="1" applyProtection="1"/>
    <xf numFmtId="168" fontId="20" fillId="42" borderId="1" xfId="0" applyNumberFormat="1" applyFont="1" applyFill="1" applyBorder="1" applyProtection="1"/>
    <xf numFmtId="168" fontId="20" fillId="41" borderId="1" xfId="0" applyNumberFormat="1" applyFont="1" applyFill="1" applyBorder="1" applyProtection="1"/>
    <xf numFmtId="10" fontId="20" fillId="41" borderId="1" xfId="0" applyNumberFormat="1" applyFont="1" applyFill="1" applyBorder="1" applyProtection="1"/>
    <xf numFmtId="9" fontId="8" fillId="8" borderId="0" xfId="0" applyNumberFormat="1" applyFont="1" applyFill="1" applyProtection="1"/>
    <xf numFmtId="10" fontId="8" fillId="8" borderId="0" xfId="14" applyNumberFormat="1" applyFont="1" applyFill="1" applyProtection="1"/>
    <xf numFmtId="9" fontId="8" fillId="8" borderId="0" xfId="14" applyFont="1" applyFill="1" applyProtection="1"/>
    <xf numFmtId="0" fontId="0" fillId="16" borderId="0" xfId="0" applyFill="1" applyProtection="1"/>
    <xf numFmtId="0" fontId="48" fillId="17" borderId="0" xfId="0" applyFont="1" applyFill="1" applyAlignment="1" applyProtection="1">
      <alignment wrapText="1"/>
    </xf>
    <xf numFmtId="0" fontId="0" fillId="14" borderId="18" xfId="0" applyFill="1" applyBorder="1" applyAlignment="1" applyProtection="1">
      <alignment horizontal="justify" vertical="center"/>
    </xf>
    <xf numFmtId="0" fontId="0" fillId="16" borderId="0" xfId="0" applyFill="1" applyAlignment="1" applyProtection="1">
      <alignment vertical="center"/>
    </xf>
    <xf numFmtId="3" fontId="37" fillId="6" borderId="1" xfId="1" applyNumberFormat="1" applyFont="1" applyBorder="1" applyAlignment="1" applyProtection="1">
      <alignment horizontal="right"/>
    </xf>
    <xf numFmtId="0" fontId="97" fillId="37" borderId="28" xfId="0" applyFont="1" applyFill="1" applyBorder="1" applyAlignment="1" applyProtection="1">
      <alignment wrapText="1"/>
    </xf>
    <xf numFmtId="0" fontId="0" fillId="36" borderId="0" xfId="0" applyFill="1" applyProtection="1"/>
    <xf numFmtId="0" fontId="97" fillId="37" borderId="30" xfId="0" applyFont="1" applyFill="1" applyBorder="1" applyAlignment="1" applyProtection="1">
      <alignment wrapText="1"/>
    </xf>
    <xf numFmtId="0" fontId="11" fillId="36" borderId="54" xfId="0" applyFont="1" applyFill="1" applyBorder="1" applyProtection="1"/>
    <xf numFmtId="4" fontId="51" fillId="13" borderId="54" xfId="27" applyNumberFormat="1" applyFont="1" applyFill="1" applyBorder="1" applyAlignment="1" applyProtection="1">
      <alignment horizontal="right"/>
    </xf>
    <xf numFmtId="10" fontId="91" fillId="13" borderId="18" xfId="1" applyNumberFormat="1" applyFont="1" applyFill="1" applyBorder="1" applyAlignment="1" applyProtection="1">
      <alignment horizontal="center" vertical="center"/>
    </xf>
    <xf numFmtId="10" fontId="49" fillId="13" borderId="18" xfId="1" applyNumberFormat="1" applyFont="1" applyFill="1" applyBorder="1" applyAlignment="1" applyProtection="1">
      <alignment horizontal="center" vertical="center"/>
    </xf>
    <xf numFmtId="9" fontId="0" fillId="13" borderId="54" xfId="14" applyFont="1" applyFill="1" applyBorder="1" applyAlignment="1" applyProtection="1">
      <alignment horizontal="center" vertical="center"/>
    </xf>
    <xf numFmtId="9" fontId="0" fillId="14" borderId="54" xfId="14" applyFont="1" applyFill="1" applyBorder="1" applyAlignment="1" applyProtection="1">
      <alignment horizontal="center" vertical="center"/>
    </xf>
    <xf numFmtId="9" fontId="0" fillId="3" borderId="54" xfId="14" applyFont="1" applyFill="1" applyBorder="1" applyAlignment="1" applyProtection="1">
      <alignment horizontal="center" vertical="center"/>
    </xf>
    <xf numFmtId="9" fontId="0" fillId="3" borderId="58" xfId="14" applyFont="1" applyFill="1" applyBorder="1" applyAlignment="1" applyProtection="1">
      <alignment horizontal="center" vertical="center"/>
    </xf>
    <xf numFmtId="0" fontId="11" fillId="13" borderId="54" xfId="0" applyFont="1" applyFill="1" applyBorder="1" applyAlignment="1" applyProtection="1">
      <alignment horizontal="left" vertical="center"/>
    </xf>
    <xf numFmtId="9" fontId="20" fillId="13" borderId="26" xfId="0" applyNumberFormat="1" applyFont="1" applyFill="1" applyBorder="1" applyAlignment="1" applyProtection="1">
      <alignment horizontal="center" vertical="center"/>
    </xf>
    <xf numFmtId="10" fontId="0" fillId="36" borderId="0" xfId="0" applyNumberFormat="1" applyFill="1" applyProtection="1"/>
    <xf numFmtId="0" fontId="11" fillId="0" borderId="18" xfId="0" applyFont="1" applyBorder="1" applyProtection="1"/>
    <xf numFmtId="0" fontId="24" fillId="0" borderId="58" xfId="0" applyFont="1" applyFill="1" applyBorder="1" applyProtection="1"/>
    <xf numFmtId="0" fontId="24" fillId="0" borderId="58" xfId="0" applyFont="1" applyFill="1" applyBorder="1" applyAlignment="1" applyProtection="1">
      <alignment horizontal="center"/>
    </xf>
    <xf numFmtId="0" fontId="1" fillId="13" borderId="9" xfId="0" applyFont="1" applyFill="1" applyBorder="1" applyAlignment="1" applyProtection="1">
      <alignment vertical="center"/>
    </xf>
    <xf numFmtId="0" fontId="1" fillId="13" borderId="10" xfId="0" applyFont="1" applyFill="1" applyBorder="1" applyAlignment="1" applyProtection="1"/>
    <xf numFmtId="4" fontId="49" fillId="13" borderId="10" xfId="0" applyNumberFormat="1" applyFont="1" applyFill="1" applyBorder="1" applyAlignment="1" applyProtection="1">
      <alignment horizontal="right"/>
    </xf>
    <xf numFmtId="0" fontId="1" fillId="13" borderId="10" xfId="0" applyFont="1" applyFill="1" applyBorder="1" applyAlignment="1" applyProtection="1">
      <alignment horizontal="center"/>
    </xf>
    <xf numFmtId="0" fontId="1" fillId="13" borderId="11" xfId="0" applyFont="1" applyFill="1" applyBorder="1" applyAlignment="1" applyProtection="1">
      <alignment horizontal="center" vertical="center"/>
    </xf>
    <xf numFmtId="0" fontId="20" fillId="13" borderId="12" xfId="0" applyFont="1" applyFill="1" applyBorder="1" applyAlignment="1" applyProtection="1">
      <alignment vertical="center"/>
    </xf>
    <xf numFmtId="0" fontId="1" fillId="13" borderId="54" xfId="0" applyFont="1" applyFill="1" applyBorder="1" applyAlignment="1" applyProtection="1">
      <alignment horizontal="center"/>
    </xf>
    <xf numFmtId="0" fontId="1" fillId="13" borderId="13" xfId="0" applyFont="1" applyFill="1" applyBorder="1" applyAlignment="1" applyProtection="1">
      <alignment horizontal="center" vertical="center"/>
    </xf>
    <xf numFmtId="0" fontId="1" fillId="14" borderId="9" xfId="0" applyFont="1" applyFill="1" applyBorder="1" applyAlignment="1" applyProtection="1">
      <alignment vertical="center"/>
    </xf>
    <xf numFmtId="4" fontId="49" fillId="14" borderId="10" xfId="0" applyNumberFormat="1" applyFont="1" applyFill="1" applyBorder="1" applyAlignment="1" applyProtection="1">
      <alignment horizontal="right"/>
    </xf>
    <xf numFmtId="0" fontId="1" fillId="14" borderId="10" xfId="0" applyFont="1" applyFill="1" applyBorder="1" applyAlignment="1" applyProtection="1">
      <alignment horizontal="center"/>
    </xf>
    <xf numFmtId="0" fontId="1" fillId="14" borderId="11" xfId="0" applyFont="1" applyFill="1" applyBorder="1" applyAlignment="1" applyProtection="1">
      <alignment horizontal="center" vertical="center"/>
    </xf>
    <xf numFmtId="0" fontId="20" fillId="14" borderId="12" xfId="0" applyFont="1" applyFill="1" applyBorder="1" applyAlignment="1" applyProtection="1">
      <alignment vertical="center"/>
    </xf>
    <xf numFmtId="0" fontId="1" fillId="14" borderId="54" xfId="0" applyFont="1" applyFill="1" applyBorder="1" applyAlignment="1" applyProtection="1">
      <alignment horizontal="center"/>
    </xf>
    <xf numFmtId="0" fontId="1" fillId="14" borderId="13" xfId="0" applyFont="1" applyFill="1" applyBorder="1" applyAlignment="1" applyProtection="1">
      <alignment horizontal="center" vertical="center"/>
    </xf>
    <xf numFmtId="0" fontId="1" fillId="3" borderId="9" xfId="0" applyFont="1" applyFill="1" applyBorder="1" applyAlignment="1" applyProtection="1">
      <alignment vertical="center"/>
    </xf>
    <xf numFmtId="4" fontId="49" fillId="3" borderId="10" xfId="0" applyNumberFormat="1" applyFont="1" applyFill="1" applyBorder="1" applyAlignment="1" applyProtection="1">
      <alignment horizontal="right"/>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vertical="center"/>
    </xf>
    <xf numFmtId="0" fontId="20" fillId="3" borderId="12" xfId="0" applyFont="1" applyFill="1" applyBorder="1" applyAlignment="1" applyProtection="1">
      <alignment vertical="center"/>
    </xf>
    <xf numFmtId="0" fontId="1" fillId="3" borderId="54" xfId="0" applyFont="1" applyFill="1" applyBorder="1" applyAlignment="1" applyProtection="1">
      <alignment horizontal="center"/>
    </xf>
    <xf numFmtId="0" fontId="1" fillId="3" borderId="13" xfId="0" applyFont="1" applyFill="1" applyBorder="1" applyAlignment="1" applyProtection="1">
      <alignment horizontal="center" vertical="center"/>
    </xf>
    <xf numFmtId="4" fontId="49" fillId="13" borderId="59" xfId="0" applyNumberFormat="1" applyFont="1" applyFill="1" applyBorder="1" applyAlignment="1" applyProtection="1">
      <alignment horizontal="right"/>
    </xf>
    <xf numFmtId="0" fontId="1" fillId="13" borderId="9" xfId="0" applyFont="1" applyFill="1" applyBorder="1" applyAlignment="1" applyProtection="1">
      <alignment vertical="center" wrapText="1"/>
    </xf>
    <xf numFmtId="4" fontId="49" fillId="13" borderId="54" xfId="0" applyNumberFormat="1" applyFont="1" applyFill="1" applyBorder="1" applyAlignment="1" applyProtection="1">
      <alignment horizontal="right"/>
    </xf>
    <xf numFmtId="0" fontId="20" fillId="13" borderId="14" xfId="0" applyFont="1" applyFill="1" applyBorder="1" applyAlignment="1" applyProtection="1">
      <alignment vertical="center"/>
    </xf>
    <xf numFmtId="0" fontId="1" fillId="13" borderId="16" xfId="0" applyFont="1" applyFill="1" applyBorder="1" applyAlignment="1" applyProtection="1">
      <alignment horizontal="center" vertical="center"/>
    </xf>
    <xf numFmtId="0" fontId="1" fillId="14" borderId="12" xfId="0" applyFont="1" applyFill="1" applyBorder="1" applyAlignment="1" applyProtection="1">
      <alignment vertical="center" wrapText="1"/>
    </xf>
    <xf numFmtId="4" fontId="49" fillId="14" borderId="54" xfId="0" applyNumberFormat="1" applyFont="1" applyFill="1" applyBorder="1" applyAlignment="1" applyProtection="1">
      <alignment horizontal="right"/>
    </xf>
    <xf numFmtId="0" fontId="1" fillId="3" borderId="12" xfId="0" applyFont="1" applyFill="1" applyBorder="1" applyAlignment="1" applyProtection="1">
      <alignment vertical="center"/>
    </xf>
    <xf numFmtId="4" fontId="49" fillId="3" borderId="54" xfId="0" applyNumberFormat="1" applyFont="1" applyFill="1" applyBorder="1" applyAlignment="1" applyProtection="1">
      <alignment horizontal="right"/>
    </xf>
    <xf numFmtId="0" fontId="1" fillId="13" borderId="12" xfId="0" applyFont="1" applyFill="1" applyBorder="1" applyAlignment="1" applyProtection="1">
      <alignment vertical="center" wrapText="1"/>
    </xf>
    <xf numFmtId="0" fontId="1" fillId="13" borderId="54" xfId="0" applyFont="1" applyFill="1" applyBorder="1" applyAlignment="1" applyProtection="1">
      <alignment horizontal="center" vertical="center"/>
    </xf>
    <xf numFmtId="0" fontId="1" fillId="14" borderId="12" xfId="0" applyFont="1" applyFill="1" applyBorder="1" applyAlignment="1" applyProtection="1">
      <alignment vertical="center"/>
    </xf>
    <xf numFmtId="0" fontId="20" fillId="14" borderId="14" xfId="0" applyFont="1" applyFill="1" applyBorder="1" applyAlignment="1" applyProtection="1">
      <alignment vertical="center"/>
    </xf>
    <xf numFmtId="4" fontId="37" fillId="6" borderId="15" xfId="1" applyNumberFormat="1" applyFont="1" applyBorder="1" applyAlignment="1" applyProtection="1">
      <alignment horizontal="right"/>
    </xf>
    <xf numFmtId="0" fontId="1" fillId="14" borderId="16" xfId="0" applyFont="1" applyFill="1" applyBorder="1" applyAlignment="1" applyProtection="1">
      <alignment horizontal="center" vertical="center"/>
    </xf>
    <xf numFmtId="0" fontId="1" fillId="3" borderId="12" xfId="0" applyFont="1" applyFill="1" applyBorder="1" applyAlignment="1" applyProtection="1">
      <alignment vertical="center" wrapText="1"/>
    </xf>
    <xf numFmtId="0" fontId="1" fillId="3" borderId="62" xfId="0" applyFont="1" applyFill="1" applyBorder="1" applyAlignment="1" applyProtection="1">
      <alignment horizontal="center" vertical="center"/>
    </xf>
    <xf numFmtId="0" fontId="20" fillId="3" borderId="64" xfId="0" applyFont="1" applyFill="1" applyBorder="1" applyAlignment="1" applyProtection="1">
      <alignment vertical="center"/>
    </xf>
    <xf numFmtId="0" fontId="1" fillId="3" borderId="65" xfId="0" applyFont="1" applyFill="1" applyBorder="1" applyAlignment="1" applyProtection="1">
      <alignment horizontal="center" vertical="center"/>
    </xf>
    <xf numFmtId="0" fontId="1" fillId="13" borderId="62" xfId="0" applyFont="1" applyFill="1" applyBorder="1" applyAlignment="1" applyProtection="1">
      <alignment horizontal="center" vertical="center"/>
    </xf>
    <xf numFmtId="0" fontId="1" fillId="13" borderId="63"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3" borderId="15" xfId="0" applyFont="1" applyFill="1" applyBorder="1" applyAlignment="1" applyProtection="1">
      <alignment horizontal="center" vertical="center"/>
    </xf>
    <xf numFmtId="0" fontId="1" fillId="14" borderId="10" xfId="0" applyFont="1" applyFill="1" applyBorder="1" applyAlignment="1" applyProtection="1">
      <alignment horizontal="center" vertical="center"/>
    </xf>
    <xf numFmtId="0" fontId="1" fillId="14" borderId="61" xfId="0" applyFont="1" applyFill="1" applyBorder="1" applyAlignment="1" applyProtection="1">
      <alignment vertical="center" wrapText="1"/>
    </xf>
    <xf numFmtId="4" fontId="49" fillId="14" borderId="57" xfId="0" applyNumberFormat="1" applyFont="1" applyFill="1" applyBorder="1" applyAlignment="1" applyProtection="1">
      <alignment horizontal="right"/>
    </xf>
    <xf numFmtId="0" fontId="1" fillId="14" borderId="57" xfId="0" applyFont="1" applyFill="1" applyBorder="1" applyAlignment="1" applyProtection="1">
      <alignment horizontal="center" vertical="center"/>
    </xf>
    <xf numFmtId="0" fontId="1" fillId="14" borderId="13" xfId="0" applyFont="1" applyFill="1" applyBorder="1" applyAlignment="1" applyProtection="1">
      <alignment horizontal="center"/>
    </xf>
    <xf numFmtId="0" fontId="1" fillId="14" borderId="60" xfId="0" applyFont="1" applyFill="1" applyBorder="1" applyAlignment="1" applyProtection="1">
      <alignment horizontal="center" vertical="center"/>
    </xf>
    <xf numFmtId="0" fontId="1" fillId="14" borderId="16" xfId="0" applyFont="1" applyFill="1" applyBorder="1" applyAlignment="1" applyProtection="1">
      <alignment horizontal="center"/>
    </xf>
    <xf numFmtId="0" fontId="20" fillId="3" borderId="9" xfId="0" applyFont="1" applyFill="1" applyBorder="1" applyAlignment="1" applyProtection="1">
      <alignment horizontal="left"/>
    </xf>
    <xf numFmtId="0" fontId="1" fillId="3" borderId="10" xfId="0" applyFont="1" applyFill="1" applyBorder="1" applyAlignment="1" applyProtection="1">
      <alignment horizontal="center" vertical="center"/>
    </xf>
    <xf numFmtId="0" fontId="20" fillId="3" borderId="14" xfId="0" applyFont="1" applyFill="1" applyBorder="1" applyAlignment="1" applyProtection="1">
      <alignment horizontal="left"/>
    </xf>
    <xf numFmtId="0" fontId="1" fillId="3" borderId="15" xfId="0" applyFont="1" applyFill="1" applyBorder="1" applyAlignment="1" applyProtection="1">
      <alignment horizontal="center" vertical="center"/>
    </xf>
    <xf numFmtId="4" fontId="49" fillId="3" borderId="10" xfId="1" applyNumberFormat="1" applyFont="1" applyFill="1" applyBorder="1" applyProtection="1"/>
    <xf numFmtId="0" fontId="19" fillId="8" borderId="54" xfId="0" applyFont="1" applyFill="1" applyBorder="1" applyAlignment="1" applyProtection="1">
      <alignment horizontal="center" vertical="center" wrapText="1"/>
    </xf>
    <xf numFmtId="0" fontId="19" fillId="9" borderId="54" xfId="0" applyFont="1" applyFill="1" applyBorder="1" applyAlignment="1" applyProtection="1">
      <alignment horizontal="center" vertical="center" wrapText="1"/>
    </xf>
    <xf numFmtId="0" fontId="19" fillId="12" borderId="54" xfId="0" applyFont="1" applyFill="1" applyBorder="1" applyAlignment="1" applyProtection="1">
      <alignment horizontal="center" vertical="center" wrapText="1"/>
    </xf>
    <xf numFmtId="0" fontId="0" fillId="0" borderId="54" xfId="0" applyBorder="1" applyAlignment="1" applyProtection="1">
      <alignment horizontal="center" vertical="center" wrapText="1"/>
    </xf>
    <xf numFmtId="0" fontId="19" fillId="8" borderId="54" xfId="0" applyFont="1" applyFill="1" applyBorder="1" applyAlignment="1" applyProtection="1">
      <alignment horizontal="center" vertical="center"/>
    </xf>
    <xf numFmtId="0" fontId="19" fillId="9" borderId="54" xfId="0" applyFont="1" applyFill="1" applyBorder="1" applyAlignment="1" applyProtection="1">
      <alignment horizontal="center" vertical="center"/>
    </xf>
    <xf numFmtId="0" fontId="19" fillId="12" borderId="54" xfId="0" applyFont="1" applyFill="1" applyBorder="1" applyAlignment="1" applyProtection="1">
      <alignment horizontal="center" vertical="center"/>
    </xf>
    <xf numFmtId="0" fontId="0" fillId="0" borderId="25" xfId="0" applyBorder="1" applyAlignment="1" applyProtection="1">
      <alignment horizontal="center" vertical="center"/>
    </xf>
    <xf numFmtId="4" fontId="51" fillId="13" borderId="54" xfId="0" applyNumberFormat="1" applyFont="1" applyFill="1" applyBorder="1" applyAlignment="1" applyProtection="1"/>
    <xf numFmtId="4" fontId="51" fillId="13" borderId="54" xfId="0" applyNumberFormat="1" applyFont="1" applyFill="1" applyBorder="1" applyAlignment="1" applyProtection="1">
      <alignment horizontal="center" vertical="center"/>
    </xf>
    <xf numFmtId="4" fontId="51" fillId="13" borderId="25" xfId="0" applyNumberFormat="1" applyFont="1" applyFill="1" applyBorder="1" applyAlignment="1" applyProtection="1">
      <alignment horizontal="center" vertical="center"/>
    </xf>
    <xf numFmtId="4" fontId="51" fillId="14" borderId="54" xfId="0" applyNumberFormat="1" applyFont="1" applyFill="1" applyBorder="1" applyAlignment="1" applyProtection="1"/>
    <xf numFmtId="4" fontId="51" fillId="14" borderId="54" xfId="0" applyNumberFormat="1" applyFont="1" applyFill="1" applyBorder="1" applyAlignment="1" applyProtection="1">
      <alignment horizontal="center" vertical="center"/>
    </xf>
    <xf numFmtId="4" fontId="51" fillId="14" borderId="25" xfId="0" applyNumberFormat="1" applyFont="1" applyFill="1" applyBorder="1" applyAlignment="1" applyProtection="1">
      <alignment horizontal="center" vertical="center"/>
    </xf>
    <xf numFmtId="4" fontId="51" fillId="3" borderId="54" xfId="0" applyNumberFormat="1" applyFont="1" applyFill="1" applyBorder="1" applyAlignment="1" applyProtection="1"/>
    <xf numFmtId="4" fontId="51" fillId="3" borderId="54" xfId="0" applyNumberFormat="1" applyFont="1" applyFill="1" applyBorder="1" applyAlignment="1" applyProtection="1">
      <alignment horizontal="center" vertical="center"/>
    </xf>
    <xf numFmtId="4" fontId="51" fillId="3" borderId="25" xfId="0" applyNumberFormat="1" applyFont="1" applyFill="1" applyBorder="1" applyAlignment="1" applyProtection="1">
      <alignment horizontal="center" vertical="center"/>
    </xf>
    <xf numFmtId="4" fontId="51" fillId="25" borderId="54" xfId="0" applyNumberFormat="1" applyFont="1" applyFill="1" applyBorder="1" applyAlignment="1" applyProtection="1"/>
    <xf numFmtId="4" fontId="51" fillId="34" borderId="54" xfId="0" applyNumberFormat="1" applyFont="1" applyFill="1" applyBorder="1" applyAlignment="1" applyProtection="1"/>
    <xf numFmtId="4" fontId="51" fillId="29" borderId="54" xfId="0" applyNumberFormat="1" applyFont="1" applyFill="1" applyBorder="1" applyAlignment="1" applyProtection="1"/>
    <xf numFmtId="4" fontId="51" fillId="29" borderId="54" xfId="0" applyNumberFormat="1" applyFont="1" applyFill="1" applyBorder="1" applyAlignment="1" applyProtection="1">
      <alignment horizontal="center" vertical="center"/>
    </xf>
    <xf numFmtId="4" fontId="51" fillId="27" borderId="54" xfId="0" applyNumberFormat="1" applyFont="1" applyFill="1" applyBorder="1" applyAlignment="1" applyProtection="1"/>
    <xf numFmtId="4" fontId="51" fillId="27" borderId="54" xfId="0" applyNumberFormat="1" applyFont="1" applyFill="1" applyBorder="1" applyAlignment="1" applyProtection="1">
      <alignment horizontal="center" vertical="center"/>
    </xf>
    <xf numFmtId="4" fontId="51" fillId="35" borderId="54" xfId="0" applyNumberFormat="1" applyFont="1" applyFill="1" applyBorder="1" applyAlignment="1" applyProtection="1"/>
    <xf numFmtId="4" fontId="51" fillId="5" borderId="54" xfId="0" applyNumberFormat="1" applyFont="1" applyFill="1" applyBorder="1" applyAlignment="1" applyProtection="1"/>
    <xf numFmtId="4" fontId="51" fillId="35" borderId="54" xfId="0" applyNumberFormat="1" applyFont="1" applyFill="1" applyBorder="1" applyAlignment="1" applyProtection="1">
      <alignment horizontal="center" vertical="center"/>
    </xf>
    <xf numFmtId="4" fontId="51" fillId="5" borderId="54" xfId="0" applyNumberFormat="1" applyFont="1" applyFill="1" applyBorder="1" applyAlignment="1" applyProtection="1">
      <alignment horizontal="center" vertical="center"/>
    </xf>
    <xf numFmtId="4" fontId="51" fillId="5" borderId="25" xfId="0" applyNumberFormat="1" applyFont="1" applyFill="1" applyBorder="1" applyAlignment="1" applyProtection="1">
      <alignment horizontal="center" vertical="center"/>
    </xf>
    <xf numFmtId="4" fontId="51" fillId="25" borderId="54" xfId="0" applyNumberFormat="1" applyFont="1" applyFill="1" applyBorder="1" applyAlignment="1" applyProtection="1">
      <alignment horizontal="center" vertical="center"/>
    </xf>
    <xf numFmtId="4" fontId="51" fillId="34" borderId="54" xfId="0" applyNumberFormat="1" applyFont="1" applyFill="1" applyBorder="1" applyAlignment="1" applyProtection="1">
      <alignment horizontal="center" vertical="center"/>
    </xf>
    <xf numFmtId="4" fontId="51" fillId="3" borderId="26" xfId="0" applyNumberFormat="1" applyFont="1" applyFill="1" applyBorder="1" applyAlignment="1" applyProtection="1">
      <alignment horizontal="center" vertical="center"/>
    </xf>
    <xf numFmtId="4" fontId="51" fillId="3" borderId="27" xfId="0" applyNumberFormat="1" applyFont="1" applyFill="1" applyBorder="1" applyAlignment="1" applyProtection="1">
      <alignment horizontal="center" vertical="center"/>
    </xf>
    <xf numFmtId="3" fontId="0" fillId="13" borderId="54" xfId="0" applyNumberFormat="1" applyFill="1" applyBorder="1" applyAlignment="1" applyProtection="1">
      <alignment horizontal="center" vertical="center"/>
    </xf>
    <xf numFmtId="3" fontId="0" fillId="14" borderId="54" xfId="0" applyNumberFormat="1" applyFill="1" applyBorder="1" applyAlignment="1" applyProtection="1">
      <alignment horizontal="center" vertical="center"/>
    </xf>
    <xf numFmtId="3" fontId="0" fillId="3" borderId="54" xfId="0" applyNumberFormat="1" applyFill="1" applyBorder="1" applyAlignment="1" applyProtection="1">
      <alignment horizontal="center" vertical="center"/>
    </xf>
    <xf numFmtId="173" fontId="0" fillId="3" borderId="54" xfId="0" applyNumberFormat="1" applyFill="1" applyBorder="1" applyAlignment="1" applyProtection="1">
      <alignment horizontal="center" vertical="center"/>
    </xf>
    <xf numFmtId="3" fontId="0" fillId="3" borderId="58" xfId="0" applyNumberFormat="1" applyFill="1" applyBorder="1" applyAlignment="1" applyProtection="1">
      <alignment horizontal="center" vertical="center"/>
    </xf>
    <xf numFmtId="172" fontId="20" fillId="13" borderId="26" xfId="27" applyNumberFormat="1" applyFont="1" applyFill="1" applyBorder="1" applyAlignment="1" applyProtection="1">
      <alignment horizontal="center" vertical="center"/>
    </xf>
    <xf numFmtId="3" fontId="20" fillId="13" borderId="26" xfId="0" applyNumberFormat="1" applyFont="1" applyFill="1" applyBorder="1" applyAlignment="1" applyProtection="1">
      <alignment horizontal="center" vertical="center"/>
    </xf>
    <xf numFmtId="0" fontId="35" fillId="0" borderId="18" xfId="0" applyFont="1" applyFill="1" applyBorder="1" applyAlignment="1" applyProtection="1">
      <alignment horizontal="justify"/>
    </xf>
    <xf numFmtId="0" fontId="35" fillId="0" borderId="18" xfId="0" applyFont="1" applyFill="1" applyBorder="1" applyAlignment="1" applyProtection="1">
      <alignment horizontal="center" vertical="center"/>
    </xf>
    <xf numFmtId="0" fontId="35" fillId="0" borderId="18" xfId="0" applyFont="1" applyFill="1" applyBorder="1" applyAlignment="1" applyProtection="1">
      <alignment horizontal="center" vertical="center" wrapText="1"/>
    </xf>
    <xf numFmtId="0" fontId="1" fillId="13" borderId="18" xfId="0" applyFont="1" applyFill="1" applyBorder="1" applyProtection="1"/>
    <xf numFmtId="3" fontId="0" fillId="33" borderId="18" xfId="0" applyNumberFormat="1" applyFill="1" applyBorder="1" applyAlignment="1" applyProtection="1">
      <alignment horizontal="center" vertical="center"/>
    </xf>
    <xf numFmtId="173" fontId="0" fillId="33" borderId="18" xfId="0" applyNumberFormat="1" applyFill="1" applyBorder="1" applyAlignment="1" applyProtection="1">
      <alignment horizontal="center" vertical="center"/>
    </xf>
    <xf numFmtId="0" fontId="1" fillId="14" borderId="18" xfId="0" applyFont="1" applyFill="1" applyBorder="1" applyProtection="1"/>
    <xf numFmtId="0" fontId="1" fillId="3" borderId="18" xfId="0" applyFont="1" applyFill="1" applyBorder="1" applyProtection="1"/>
    <xf numFmtId="0" fontId="24" fillId="0" borderId="1" xfId="0" applyFont="1" applyFill="1" applyBorder="1" applyProtection="1"/>
    <xf numFmtId="0" fontId="55" fillId="5" borderId="54" xfId="0" applyFont="1" applyFill="1" applyBorder="1" applyAlignment="1" applyProtection="1">
      <alignment horizontal="left" vertical="center" wrapText="1"/>
    </xf>
    <xf numFmtId="0" fontId="0" fillId="13" borderId="0" xfId="0" applyFill="1" applyBorder="1" applyAlignment="1" applyProtection="1">
      <alignment horizontal="center" vertical="center"/>
    </xf>
    <xf numFmtId="0" fontId="55" fillId="5" borderId="58" xfId="0" applyFont="1" applyFill="1" applyBorder="1" applyAlignment="1" applyProtection="1">
      <alignment horizontal="center" vertical="center"/>
    </xf>
    <xf numFmtId="1" fontId="55" fillId="5" borderId="58" xfId="0" applyNumberFormat="1" applyFont="1" applyFill="1" applyBorder="1" applyAlignment="1" applyProtection="1">
      <alignment horizontal="center" vertical="center"/>
    </xf>
    <xf numFmtId="0" fontId="0" fillId="13" borderId="7" xfId="0" applyFill="1" applyBorder="1" applyAlignment="1" applyProtection="1">
      <alignment horizontal="center" vertical="center"/>
    </xf>
    <xf numFmtId="4" fontId="49" fillId="13" borderId="54" xfId="0" applyNumberFormat="1" applyFont="1" applyFill="1" applyBorder="1" applyAlignment="1" applyProtection="1">
      <alignment horizontal="right" vertical="center"/>
    </xf>
    <xf numFmtId="0" fontId="0" fillId="14" borderId="54" xfId="0" applyFill="1" applyBorder="1" applyAlignment="1" applyProtection="1">
      <alignment horizontal="center"/>
    </xf>
    <xf numFmtId="0" fontId="0" fillId="13" borderId="112" xfId="0" applyFill="1" applyBorder="1" applyAlignment="1" applyProtection="1">
      <alignment horizontal="left" wrapText="1"/>
    </xf>
    <xf numFmtId="0" fontId="0" fillId="13" borderId="95" xfId="0" applyFill="1" applyBorder="1" applyAlignment="1" applyProtection="1">
      <alignment horizontal="center" vertical="center"/>
    </xf>
    <xf numFmtId="0" fontId="0" fillId="13" borderId="112" xfId="0" applyFill="1" applyBorder="1" applyAlignment="1" applyProtection="1">
      <alignment horizontal="center"/>
    </xf>
    <xf numFmtId="0" fontId="0" fillId="13" borderId="20" xfId="0" applyFill="1" applyBorder="1" applyAlignment="1" applyProtection="1">
      <alignment horizontal="left" wrapText="1"/>
    </xf>
    <xf numFmtId="0" fontId="0" fillId="13" borderId="18" xfId="0" applyFill="1" applyBorder="1" applyAlignment="1" applyProtection="1">
      <alignment horizontal="center" vertical="center"/>
    </xf>
    <xf numFmtId="4" fontId="49" fillId="13" borderId="0" xfId="0" applyNumberFormat="1" applyFont="1" applyFill="1" applyBorder="1" applyAlignment="1" applyProtection="1">
      <alignment horizontal="right" vertical="center"/>
    </xf>
    <xf numFmtId="0" fontId="0" fillId="13" borderId="20" xfId="0" applyFill="1" applyBorder="1" applyAlignment="1" applyProtection="1">
      <alignment horizontal="center"/>
    </xf>
    <xf numFmtId="0" fontId="20" fillId="13" borderId="20" xfId="0" applyFont="1" applyFill="1" applyBorder="1" applyAlignment="1" applyProtection="1">
      <alignment horizontal="left" wrapText="1"/>
    </xf>
    <xf numFmtId="0" fontId="0" fillId="14" borderId="18" xfId="0" applyFill="1" applyBorder="1" applyAlignment="1" applyProtection="1">
      <alignment horizontal="left" wrapText="1"/>
    </xf>
    <xf numFmtId="4" fontId="49" fillId="14" borderId="19" xfId="0" applyNumberFormat="1" applyFont="1" applyFill="1" applyBorder="1" applyAlignment="1" applyProtection="1">
      <alignment horizontal="right"/>
    </xf>
    <xf numFmtId="0" fontId="0" fillId="14" borderId="20" xfId="0" applyFill="1" applyBorder="1" applyAlignment="1" applyProtection="1">
      <alignment horizontal="center"/>
    </xf>
    <xf numFmtId="0" fontId="20" fillId="14" borderId="18" xfId="0" applyFont="1" applyFill="1" applyBorder="1" applyAlignment="1" applyProtection="1">
      <alignment horizontal="left" wrapText="1"/>
    </xf>
    <xf numFmtId="0" fontId="19" fillId="16" borderId="54" xfId="0" applyFont="1" applyFill="1" applyBorder="1" applyAlignment="1" applyProtection="1">
      <alignment horizontal="center" vertical="center" wrapText="1"/>
    </xf>
    <xf numFmtId="0" fontId="19" fillId="16" borderId="1" xfId="0" applyFont="1" applyFill="1" applyBorder="1" applyAlignment="1" applyProtection="1">
      <alignment horizontal="center"/>
    </xf>
    <xf numFmtId="0" fontId="0" fillId="0" borderId="1" xfId="0" applyBorder="1" applyAlignment="1" applyProtection="1">
      <alignment horizontal="center"/>
    </xf>
    <xf numFmtId="4" fontId="49" fillId="21" borderId="1" xfId="0" applyNumberFormat="1" applyFont="1" applyFill="1" applyBorder="1" applyAlignment="1" applyProtection="1">
      <alignment horizontal="right"/>
    </xf>
    <xf numFmtId="4" fontId="49" fillId="23" borderId="1" xfId="0" applyNumberFormat="1" applyFont="1" applyFill="1" applyBorder="1" applyAlignment="1" applyProtection="1">
      <alignment horizontal="right"/>
    </xf>
    <xf numFmtId="4" fontId="49" fillId="18" borderId="1" xfId="0" applyNumberFormat="1" applyFont="1" applyFill="1" applyBorder="1" applyAlignment="1" applyProtection="1">
      <alignment horizontal="right"/>
    </xf>
    <xf numFmtId="4" fontId="49" fillId="13" borderId="1" xfId="0" applyNumberFormat="1" applyFont="1" applyFill="1" applyBorder="1" applyAlignment="1" applyProtection="1">
      <alignment horizontal="right"/>
    </xf>
    <xf numFmtId="4" fontId="49" fillId="28" borderId="1" xfId="0" applyNumberFormat="1" applyFont="1" applyFill="1" applyBorder="1" applyAlignment="1" applyProtection="1">
      <alignment horizontal="right"/>
    </xf>
    <xf numFmtId="4" fontId="49" fillId="32" borderId="1" xfId="0" applyNumberFormat="1" applyFont="1" applyFill="1" applyBorder="1" applyAlignment="1" applyProtection="1">
      <alignment horizontal="right"/>
    </xf>
    <xf numFmtId="0" fontId="0" fillId="14" borderId="54" xfId="0" applyFont="1" applyFill="1" applyBorder="1" applyProtection="1"/>
    <xf numFmtId="0" fontId="1" fillId="14" borderId="54" xfId="0" applyFont="1" applyFill="1" applyBorder="1" applyAlignment="1" applyProtection="1">
      <alignment wrapText="1"/>
    </xf>
    <xf numFmtId="4" fontId="49" fillId="3" borderId="1" xfId="0" applyNumberFormat="1" applyFont="1" applyFill="1" applyBorder="1" applyAlignment="1" applyProtection="1">
      <alignment horizontal="right"/>
    </xf>
    <xf numFmtId="4" fontId="49" fillId="0" borderId="1" xfId="0" applyNumberFormat="1" applyFont="1" applyFill="1" applyBorder="1" applyAlignment="1" applyProtection="1">
      <alignment horizontal="right"/>
    </xf>
    <xf numFmtId="4" fontId="49" fillId="25" borderId="1" xfId="0" applyNumberFormat="1" applyFont="1" applyFill="1" applyBorder="1" applyAlignment="1" applyProtection="1">
      <alignment horizontal="right"/>
    </xf>
    <xf numFmtId="0" fontId="0" fillId="5" borderId="0" xfId="0" applyFill="1" applyProtection="1"/>
    <xf numFmtId="0" fontId="11" fillId="0" borderId="18" xfId="0" applyFont="1" applyBorder="1" applyAlignment="1" applyProtection="1">
      <alignment horizontal="center"/>
    </xf>
    <xf numFmtId="0" fontId="35" fillId="0" borderId="18" xfId="0" applyFont="1" applyFill="1" applyBorder="1" applyAlignment="1" applyProtection="1">
      <alignment horizontal="center"/>
    </xf>
    <xf numFmtId="0" fontId="20" fillId="13" borderId="18" xfId="0" applyFont="1" applyFill="1" applyBorder="1" applyAlignment="1" applyProtection="1">
      <alignment horizontal="left"/>
    </xf>
    <xf numFmtId="0" fontId="70" fillId="15" borderId="0" xfId="0" applyFont="1" applyFill="1" applyProtection="1"/>
    <xf numFmtId="0" fontId="0" fillId="13" borderId="18" xfId="0" applyFont="1" applyFill="1" applyBorder="1" applyAlignment="1" applyProtection="1">
      <alignment horizontal="left"/>
    </xf>
    <xf numFmtId="169" fontId="51" fillId="13" borderId="19" xfId="0" applyNumberFormat="1" applyFont="1" applyFill="1" applyBorder="1" applyAlignment="1" applyProtection="1"/>
    <xf numFmtId="0" fontId="0" fillId="13" borderId="20" xfId="0" applyFill="1" applyBorder="1" applyProtection="1"/>
    <xf numFmtId="0" fontId="0" fillId="14" borderId="18" xfId="0" applyFill="1" applyBorder="1" applyProtection="1"/>
    <xf numFmtId="0" fontId="0" fillId="14" borderId="19" xfId="0" applyFill="1" applyBorder="1" applyProtection="1"/>
    <xf numFmtId="0" fontId="0" fillId="14" borderId="20" xfId="0" applyFill="1" applyBorder="1" applyProtection="1"/>
    <xf numFmtId="0" fontId="0" fillId="3" borderId="18" xfId="0" applyFill="1" applyBorder="1" applyProtection="1"/>
    <xf numFmtId="0" fontId="0" fillId="3" borderId="19" xfId="0" applyFill="1" applyBorder="1" applyProtection="1"/>
    <xf numFmtId="0" fontId="0" fillId="3" borderId="20" xfId="0" applyFill="1" applyBorder="1" applyProtection="1"/>
    <xf numFmtId="0" fontId="0" fillId="13" borderId="18" xfId="0" applyFill="1" applyBorder="1" applyProtection="1"/>
    <xf numFmtId="0" fontId="0" fillId="13" borderId="69" xfId="0" applyFill="1" applyBorder="1" applyProtection="1"/>
    <xf numFmtId="167" fontId="51" fillId="13" borderId="19" xfId="0" applyNumberFormat="1" applyFont="1" applyFill="1" applyBorder="1" applyAlignment="1" applyProtection="1">
      <alignment horizontal="right"/>
    </xf>
    <xf numFmtId="167" fontId="71" fillId="14" borderId="19" xfId="0" applyNumberFormat="1" applyFont="1" applyFill="1" applyBorder="1" applyAlignment="1" applyProtection="1">
      <alignment horizontal="right"/>
    </xf>
    <xf numFmtId="0" fontId="11" fillId="14" borderId="20" xfId="0" applyFont="1" applyFill="1" applyBorder="1" applyProtection="1"/>
    <xf numFmtId="167" fontId="51" fillId="3" borderId="19" xfId="0" applyNumberFormat="1" applyFont="1" applyFill="1" applyBorder="1" applyAlignment="1" applyProtection="1">
      <alignment horizontal="right"/>
    </xf>
    <xf numFmtId="0" fontId="12" fillId="2" borderId="1" xfId="0" applyFont="1" applyFill="1" applyBorder="1" applyProtection="1"/>
    <xf numFmtId="0" fontId="12" fillId="2" borderId="1" xfId="0" applyFont="1" applyFill="1" applyBorder="1" applyAlignment="1" applyProtection="1">
      <alignment wrapText="1"/>
    </xf>
    <xf numFmtId="0" fontId="12" fillId="2" borderId="54" xfId="0" applyFont="1" applyFill="1" applyBorder="1" applyProtection="1"/>
    <xf numFmtId="0" fontId="10" fillId="2" borderId="1" xfId="0" applyFont="1" applyFill="1" applyBorder="1" applyAlignment="1" applyProtection="1">
      <alignment vertical="center" wrapText="1"/>
    </xf>
    <xf numFmtId="0" fontId="10" fillId="2" borderId="54" xfId="0" applyFont="1" applyFill="1" applyBorder="1" applyAlignment="1" applyProtection="1">
      <alignment vertical="center" wrapText="1"/>
    </xf>
    <xf numFmtId="0" fontId="10" fillId="2" borderId="1" xfId="0" applyFont="1" applyFill="1" applyBorder="1" applyAlignment="1" applyProtection="1">
      <alignment horizontal="center" vertical="center"/>
    </xf>
    <xf numFmtId="0" fontId="12" fillId="2" borderId="1" xfId="0" applyFont="1" applyFill="1" applyBorder="1" applyAlignment="1" applyProtection="1">
      <alignment horizontal="center"/>
    </xf>
    <xf numFmtId="4" fontId="59" fillId="0" borderId="1" xfId="0" applyNumberFormat="1" applyFont="1" applyBorder="1" applyAlignment="1" applyProtection="1">
      <alignment horizontal="right"/>
    </xf>
    <xf numFmtId="4" fontId="59" fillId="0" borderId="1" xfId="0" applyNumberFormat="1" applyFont="1" applyFill="1" applyBorder="1" applyAlignment="1" applyProtection="1">
      <alignment horizontal="right"/>
    </xf>
    <xf numFmtId="4" fontId="59" fillId="0" borderId="54" xfId="0" applyNumberFormat="1" applyFont="1" applyBorder="1" applyAlignment="1" applyProtection="1">
      <alignment horizontal="right"/>
    </xf>
    <xf numFmtId="4" fontId="59" fillId="8" borderId="1" xfId="0" applyNumberFormat="1" applyFont="1" applyFill="1" applyBorder="1" applyAlignment="1" applyProtection="1">
      <alignment horizontal="right"/>
    </xf>
    <xf numFmtId="4" fontId="59" fillId="8" borderId="54" xfId="0" applyNumberFormat="1" applyFont="1" applyFill="1" applyBorder="1" applyAlignment="1" applyProtection="1">
      <alignment horizontal="right"/>
    </xf>
    <xf numFmtId="4" fontId="59" fillId="2" borderId="1" xfId="0" applyNumberFormat="1" applyFont="1" applyFill="1" applyBorder="1" applyAlignment="1" applyProtection="1">
      <alignment horizontal="right"/>
    </xf>
    <xf numFmtId="4" fontId="59" fillId="2" borderId="54" xfId="0" applyNumberFormat="1" applyFont="1" applyFill="1" applyBorder="1" applyAlignment="1" applyProtection="1">
      <alignment horizontal="right"/>
    </xf>
    <xf numFmtId="4" fontId="59" fillId="0" borderId="54" xfId="0" applyNumberFormat="1" applyFont="1" applyBorder="1" applyAlignment="1" applyProtection="1"/>
    <xf numFmtId="4" fontId="59" fillId="5" borderId="1" xfId="0" applyNumberFormat="1" applyFont="1" applyFill="1" applyBorder="1" applyAlignment="1" applyProtection="1">
      <alignment horizontal="right"/>
    </xf>
    <xf numFmtId="4" fontId="59" fillId="5" borderId="54" xfId="0" applyNumberFormat="1" applyFont="1" applyFill="1" applyBorder="1" applyAlignment="1" applyProtection="1">
      <alignment horizontal="right"/>
    </xf>
    <xf numFmtId="0" fontId="0" fillId="15" borderId="0" xfId="0" applyFill="1" applyAlignment="1" applyProtection="1">
      <alignment horizontal="left"/>
    </xf>
    <xf numFmtId="0" fontId="17" fillId="11" borderId="53" xfId="0" applyFont="1" applyFill="1" applyBorder="1" applyAlignment="1" applyProtection="1">
      <alignment horizontal="center"/>
    </xf>
    <xf numFmtId="0" fontId="13" fillId="2" borderId="1" xfId="0" applyFont="1" applyFill="1" applyBorder="1" applyProtection="1"/>
    <xf numFmtId="0" fontId="13" fillId="2" borderId="1" xfId="0" applyFont="1" applyFill="1" applyBorder="1" applyAlignment="1" applyProtection="1">
      <alignment wrapText="1"/>
    </xf>
    <xf numFmtId="0" fontId="13" fillId="2" borderId="54" xfId="0" applyFont="1" applyFill="1" applyBorder="1" applyProtection="1"/>
    <xf numFmtId="0" fontId="14" fillId="2" borderId="1" xfId="0" applyFont="1" applyFill="1" applyBorder="1" applyAlignment="1" applyProtection="1">
      <alignment vertical="center" wrapText="1"/>
    </xf>
    <xf numFmtId="0" fontId="14" fillId="2" borderId="54" xfId="0" applyFont="1" applyFill="1" applyBorder="1" applyAlignment="1" applyProtection="1">
      <alignment vertical="center" wrapText="1"/>
    </xf>
    <xf numFmtId="0" fontId="0" fillId="2" borderId="1" xfId="0" applyFill="1" applyBorder="1" applyAlignment="1" applyProtection="1">
      <alignment horizontal="center"/>
    </xf>
    <xf numFmtId="4" fontId="59" fillId="18" borderId="1" xfId="0" applyNumberFormat="1" applyFont="1" applyFill="1" applyBorder="1" applyAlignment="1" applyProtection="1">
      <alignment horizontal="right"/>
    </xf>
    <xf numFmtId="4" fontId="59" fillId="18" borderId="54" xfId="0" applyNumberFormat="1" applyFont="1" applyFill="1" applyBorder="1" applyAlignment="1" applyProtection="1">
      <alignment horizontal="right"/>
    </xf>
    <xf numFmtId="0" fontId="0" fillId="0" borderId="53" xfId="0" applyBorder="1" applyAlignment="1" applyProtection="1">
      <alignment horizontal="left" wrapText="1"/>
    </xf>
    <xf numFmtId="0" fontId="0" fillId="0" borderId="8" xfId="0" applyBorder="1" applyAlignment="1" applyProtection="1">
      <alignment horizontal="left"/>
    </xf>
    <xf numFmtId="4" fontId="49" fillId="25" borderId="54" xfId="0" applyNumberFormat="1" applyFont="1" applyFill="1" applyBorder="1" applyAlignment="1" applyProtection="1">
      <alignment horizontal="right"/>
    </xf>
    <xf numFmtId="4" fontId="49" fillId="18" borderId="54" xfId="0" applyNumberFormat="1" applyFont="1" applyFill="1" applyBorder="1" applyAlignment="1" applyProtection="1">
      <alignment horizontal="right"/>
    </xf>
    <xf numFmtId="0" fontId="110" fillId="33" borderId="0" xfId="0" applyFont="1" applyFill="1" applyAlignment="1" applyProtection="1">
      <alignment vertical="center"/>
      <protection locked="0"/>
    </xf>
    <xf numFmtId="0" fontId="111" fillId="33" borderId="0" xfId="0" applyFont="1" applyFill="1" applyAlignment="1" applyProtection="1">
      <alignment vertical="center"/>
      <protection locked="0"/>
    </xf>
    <xf numFmtId="0" fontId="1" fillId="13" borderId="29" xfId="0" applyFont="1" applyFill="1" applyBorder="1" applyProtection="1"/>
    <xf numFmtId="0" fontId="58" fillId="13" borderId="54" xfId="0" applyFont="1" applyFill="1" applyBorder="1" applyAlignment="1" applyProtection="1">
      <alignment horizontal="left" vertical="center"/>
    </xf>
    <xf numFmtId="0" fontId="17" fillId="13" borderId="18" xfId="0" applyFont="1" applyFill="1" applyBorder="1" applyProtection="1"/>
    <xf numFmtId="0" fontId="17" fillId="14" borderId="18" xfId="0" applyFont="1" applyFill="1" applyBorder="1" applyProtection="1"/>
    <xf numFmtId="0" fontId="17" fillId="3" borderId="18" xfId="0" applyFont="1" applyFill="1" applyBorder="1" applyProtection="1"/>
    <xf numFmtId="0" fontId="17" fillId="13" borderId="69" xfId="0" applyFont="1" applyFill="1" applyBorder="1" applyProtection="1"/>
    <xf numFmtId="0" fontId="17" fillId="13" borderId="54" xfId="0" applyFont="1" applyFill="1" applyBorder="1" applyProtection="1"/>
    <xf numFmtId="0" fontId="17" fillId="13" borderId="12" xfId="0" applyFont="1" applyFill="1" applyBorder="1" applyAlignment="1" applyProtection="1">
      <alignment vertical="center"/>
    </xf>
    <xf numFmtId="0" fontId="0" fillId="14" borderId="108" xfId="0" applyFill="1" applyBorder="1" applyAlignment="1" applyProtection="1">
      <alignment horizontal="center"/>
    </xf>
    <xf numFmtId="1" fontId="55" fillId="5" borderId="54" xfId="0" applyNumberFormat="1" applyFont="1" applyFill="1" applyBorder="1" applyAlignment="1" applyProtection="1">
      <alignment horizontal="center" vertical="center"/>
    </xf>
    <xf numFmtId="0" fontId="97" fillId="37" borderId="0" xfId="0" applyFont="1" applyFill="1" applyAlignment="1" applyProtection="1">
      <alignment vertical="center" wrapText="1"/>
    </xf>
    <xf numFmtId="4" fontId="37" fillId="6" borderId="18" xfId="1" applyNumberFormat="1" applyFont="1" applyBorder="1" applyAlignment="1" applyProtection="1">
      <alignment horizontal="center" vertical="center"/>
      <protection locked="0"/>
    </xf>
    <xf numFmtId="4" fontId="51" fillId="14" borderId="18" xfId="0" applyNumberFormat="1" applyFont="1" applyFill="1" applyBorder="1" applyAlignment="1" applyProtection="1">
      <alignment horizontal="center"/>
    </xf>
    <xf numFmtId="168" fontId="97" fillId="13" borderId="18" xfId="0" applyNumberFormat="1" applyFont="1" applyFill="1" applyBorder="1" applyAlignment="1" applyProtection="1">
      <alignment horizontal="center" vertical="center"/>
    </xf>
    <xf numFmtId="168" fontId="97" fillId="14" borderId="18" xfId="0" applyNumberFormat="1" applyFont="1" applyFill="1" applyBorder="1" applyAlignment="1" applyProtection="1">
      <alignment horizontal="center" vertical="center"/>
    </xf>
    <xf numFmtId="168" fontId="97" fillId="3" borderId="18" xfId="0" applyNumberFormat="1" applyFont="1" applyFill="1" applyBorder="1" applyAlignment="1" applyProtection="1">
      <alignment horizontal="center" vertical="center"/>
    </xf>
    <xf numFmtId="0" fontId="110" fillId="33" borderId="24" xfId="0" applyFont="1" applyFill="1" applyBorder="1" applyAlignment="1" applyProtection="1">
      <alignment vertical="center"/>
      <protection locked="0"/>
    </xf>
    <xf numFmtId="0" fontId="110" fillId="33" borderId="27" xfId="0" applyFont="1" applyFill="1" applyBorder="1" applyAlignment="1" applyProtection="1">
      <alignment vertical="center"/>
      <protection locked="0"/>
    </xf>
    <xf numFmtId="0" fontId="112" fillId="33" borderId="24" xfId="0" applyFont="1" applyFill="1" applyBorder="1" applyAlignment="1" applyProtection="1">
      <alignment vertical="center"/>
      <protection locked="0"/>
    </xf>
    <xf numFmtId="0" fontId="58" fillId="37" borderId="28" xfId="0" applyFont="1" applyFill="1" applyBorder="1" applyAlignment="1" applyProtection="1">
      <alignment vertical="center" wrapText="1"/>
    </xf>
    <xf numFmtId="0" fontId="104" fillId="15" borderId="0" xfId="0" applyFont="1" applyFill="1" applyAlignment="1" applyProtection="1">
      <alignment vertical="center" wrapText="1"/>
    </xf>
    <xf numFmtId="4" fontId="107" fillId="6" borderId="54" xfId="1" applyNumberFormat="1" applyFont="1" applyBorder="1" applyAlignment="1" applyProtection="1">
      <alignment horizontal="left" vertical="center" wrapText="1"/>
      <protection locked="0"/>
    </xf>
    <xf numFmtId="0" fontId="70" fillId="20" borderId="0" xfId="0" applyFont="1" applyFill="1" applyAlignment="1" applyProtection="1">
      <alignment vertical="center"/>
    </xf>
    <xf numFmtId="10" fontId="91" fillId="14" borderId="54" xfId="0" applyNumberFormat="1" applyFont="1" applyFill="1" applyBorder="1" applyAlignment="1" applyProtection="1">
      <alignment horizontal="center" vertical="center"/>
    </xf>
    <xf numFmtId="0" fontId="55" fillId="5" borderId="54" xfId="0" applyFont="1" applyFill="1" applyBorder="1" applyAlignment="1" applyProtection="1">
      <alignment horizontal="center" vertical="center"/>
    </xf>
    <xf numFmtId="0" fontId="0" fillId="14" borderId="54" xfId="0" applyFill="1" applyBorder="1" applyAlignment="1" applyProtection="1">
      <alignment horizontal="center" vertical="center" wrapText="1"/>
    </xf>
    <xf numFmtId="4" fontId="3" fillId="14" borderId="1" xfId="0" applyNumberFormat="1" applyFont="1" applyFill="1" applyBorder="1" applyAlignment="1" applyProtection="1">
      <alignment horizontal="right"/>
    </xf>
    <xf numFmtId="4" fontId="25" fillId="22" borderId="54" xfId="0" applyNumberFormat="1" applyFont="1" applyFill="1" applyBorder="1" applyAlignment="1" applyProtection="1">
      <alignment horizontal="right" vertical="center"/>
    </xf>
    <xf numFmtId="3" fontId="0" fillId="53" borderId="1" xfId="0" applyNumberFormat="1" applyFill="1" applyBorder="1" applyProtection="1"/>
    <xf numFmtId="3" fontId="0" fillId="3" borderId="54" xfId="0" applyNumberFormat="1" applyFont="1" applyFill="1" applyBorder="1" applyProtection="1"/>
    <xf numFmtId="3" fontId="0" fillId="13" borderId="30" xfId="0" applyNumberFormat="1" applyFont="1" applyFill="1" applyBorder="1" applyProtection="1"/>
    <xf numFmtId="3" fontId="3" fillId="39" borderId="54" xfId="0" applyNumberFormat="1" applyFont="1" applyFill="1" applyBorder="1" applyAlignment="1" applyProtection="1">
      <alignment horizontal="right"/>
    </xf>
    <xf numFmtId="3" fontId="3" fillId="14" borderId="54" xfId="0" applyNumberFormat="1" applyFont="1" applyFill="1" applyBorder="1" applyAlignment="1" applyProtection="1">
      <alignment horizontal="right"/>
    </xf>
    <xf numFmtId="3" fontId="3" fillId="23" borderId="54" xfId="0" applyNumberFormat="1" applyFont="1" applyFill="1" applyBorder="1" applyAlignment="1" applyProtection="1">
      <alignment horizontal="right"/>
    </xf>
    <xf numFmtId="3" fontId="3" fillId="40" borderId="54" xfId="0" applyNumberFormat="1" applyFont="1" applyFill="1" applyBorder="1" applyAlignment="1" applyProtection="1">
      <alignment horizontal="right"/>
    </xf>
    <xf numFmtId="3" fontId="3" fillId="0" borderId="54" xfId="0" applyNumberFormat="1" applyFont="1" applyBorder="1" applyAlignment="1" applyProtection="1">
      <alignment horizontal="right"/>
    </xf>
    <xf numFmtId="173" fontId="0" fillId="0" borderId="0" xfId="0" applyNumberFormat="1" applyProtection="1">
      <protection locked="0"/>
    </xf>
    <xf numFmtId="0" fontId="19" fillId="52" borderId="0" xfId="0" applyFont="1" applyFill="1" applyBorder="1" applyAlignment="1" applyProtection="1">
      <alignment horizontal="center" vertical="center" wrapText="1"/>
    </xf>
    <xf numFmtId="3" fontId="56" fillId="13" borderId="19" xfId="0" applyNumberFormat="1" applyFont="1" applyFill="1" applyBorder="1" applyAlignment="1" applyProtection="1">
      <alignment vertical="center"/>
    </xf>
    <xf numFmtId="3" fontId="56" fillId="14" borderId="19" xfId="0" applyNumberFormat="1" applyFont="1" applyFill="1" applyBorder="1" applyAlignment="1" applyProtection="1">
      <alignment vertical="center"/>
    </xf>
    <xf numFmtId="3" fontId="56" fillId="3" borderId="19" xfId="0" applyNumberFormat="1" applyFont="1" applyFill="1" applyBorder="1" applyAlignment="1" applyProtection="1">
      <alignment vertical="center"/>
    </xf>
    <xf numFmtId="3" fontId="56" fillId="14" borderId="103" xfId="0" applyNumberFormat="1" applyFont="1" applyFill="1" applyBorder="1" applyAlignment="1" applyProtection="1">
      <alignment vertical="center"/>
    </xf>
    <xf numFmtId="3" fontId="56" fillId="3" borderId="53" xfId="0" applyNumberFormat="1" applyFont="1" applyFill="1" applyBorder="1" applyAlignment="1" applyProtection="1">
      <alignment vertical="center"/>
    </xf>
    <xf numFmtId="0" fontId="60" fillId="0" borderId="107" xfId="0" applyFont="1" applyFill="1" applyBorder="1" applyProtection="1"/>
    <xf numFmtId="0" fontId="0" fillId="36" borderId="0" xfId="0" applyFill="1" applyAlignment="1" applyProtection="1">
      <alignment vertical="center" wrapText="1"/>
    </xf>
    <xf numFmtId="10" fontId="49" fillId="15" borderId="7" xfId="0" applyNumberFormat="1" applyFont="1" applyFill="1" applyBorder="1" applyAlignment="1" applyProtection="1">
      <alignment horizontal="center" vertical="center"/>
    </xf>
    <xf numFmtId="0" fontId="27" fillId="0" borderId="97" xfId="0" applyFont="1" applyBorder="1" applyAlignment="1" applyProtection="1">
      <alignment horizontal="center" vertical="center"/>
    </xf>
    <xf numFmtId="173" fontId="106" fillId="13" borderId="1" xfId="0" applyNumberFormat="1" applyFont="1" applyFill="1" applyBorder="1" applyAlignment="1" applyProtection="1">
      <alignment horizontal="left" vertical="center"/>
    </xf>
    <xf numFmtId="173" fontId="106" fillId="14" borderId="1" xfId="0" applyNumberFormat="1" applyFont="1" applyFill="1" applyBorder="1" applyAlignment="1" applyProtection="1">
      <alignment horizontal="left" vertical="center"/>
    </xf>
    <xf numFmtId="9" fontId="49" fillId="13" borderId="8" xfId="0" applyNumberFormat="1" applyFont="1" applyFill="1" applyBorder="1" applyAlignment="1" applyProtection="1">
      <alignment horizontal="right" vertical="center"/>
    </xf>
    <xf numFmtId="9" fontId="56" fillId="3" borderId="18" xfId="0" applyNumberFormat="1" applyFont="1" applyFill="1" applyBorder="1" applyAlignment="1" applyProtection="1">
      <alignment horizontal="right" vertical="center"/>
    </xf>
    <xf numFmtId="10" fontId="49" fillId="13" borderId="18" xfId="0" applyNumberFormat="1" applyFont="1" applyFill="1" applyBorder="1" applyAlignment="1" applyProtection="1">
      <alignment horizontal="right" vertical="center"/>
    </xf>
    <xf numFmtId="9" fontId="8" fillId="15" borderId="8" xfId="0" applyNumberFormat="1" applyFont="1" applyFill="1" applyBorder="1" applyProtection="1"/>
    <xf numFmtId="9" fontId="55" fillId="3" borderId="18" xfId="0" applyNumberFormat="1" applyFont="1" applyFill="1" applyBorder="1" applyAlignment="1" applyProtection="1">
      <alignment horizontal="right" vertical="center"/>
    </xf>
    <xf numFmtId="9" fontId="8" fillId="15" borderId="7" xfId="0" applyNumberFormat="1" applyFont="1" applyFill="1" applyBorder="1" applyAlignment="1" applyProtection="1">
      <alignment horizontal="right" vertical="center"/>
    </xf>
    <xf numFmtId="9" fontId="49" fillId="13" borderId="19" xfId="0" applyNumberFormat="1" applyFont="1" applyFill="1" applyBorder="1" applyAlignment="1" applyProtection="1">
      <alignment horizontal="right" vertical="center"/>
    </xf>
    <xf numFmtId="10" fontId="20" fillId="13" borderId="1" xfId="0" applyNumberFormat="1" applyFont="1" applyFill="1" applyBorder="1" applyAlignment="1" applyProtection="1">
      <alignment horizontal="center"/>
    </xf>
    <xf numFmtId="9" fontId="0" fillId="15" borderId="54" xfId="0" applyNumberFormat="1" applyFill="1" applyBorder="1" applyProtection="1"/>
    <xf numFmtId="168" fontId="49" fillId="15" borderId="7" xfId="0" applyNumberFormat="1" applyFont="1" applyFill="1" applyBorder="1" applyAlignment="1" applyProtection="1">
      <alignment horizontal="right" vertical="center"/>
    </xf>
    <xf numFmtId="9" fontId="49" fillId="13" borderId="57" xfId="0" applyNumberFormat="1" applyFont="1" applyFill="1" applyBorder="1" applyAlignment="1" applyProtection="1">
      <alignment horizontal="right" vertical="center"/>
    </xf>
    <xf numFmtId="9" fontId="49" fillId="14" borderId="54" xfId="0" applyNumberFormat="1" applyFont="1" applyFill="1" applyBorder="1" applyAlignment="1" applyProtection="1">
      <alignment horizontal="right" vertical="center"/>
    </xf>
    <xf numFmtId="9" fontId="49" fillId="3" borderId="54" xfId="0" applyNumberFormat="1" applyFont="1" applyFill="1" applyBorder="1" applyAlignment="1" applyProtection="1">
      <alignment horizontal="right" vertical="center"/>
    </xf>
    <xf numFmtId="9" fontId="49" fillId="13" borderId="54" xfId="0" applyNumberFormat="1" applyFont="1" applyFill="1" applyBorder="1" applyAlignment="1" applyProtection="1">
      <alignment horizontal="right" vertical="center"/>
    </xf>
    <xf numFmtId="9" fontId="91" fillId="14" borderId="54" xfId="0" applyNumberFormat="1" applyFont="1" applyFill="1" applyBorder="1" applyAlignment="1" applyProtection="1">
      <alignment horizontal="right" vertical="center"/>
    </xf>
    <xf numFmtId="9" fontId="2" fillId="13" borderId="54" xfId="0" applyNumberFormat="1" applyFont="1" applyFill="1" applyBorder="1" applyAlignment="1" applyProtection="1">
      <alignment horizontal="right" vertical="center"/>
    </xf>
    <xf numFmtId="9" fontId="2" fillId="14" borderId="54" xfId="0" applyNumberFormat="1" applyFont="1" applyFill="1" applyBorder="1" applyAlignment="1" applyProtection="1">
      <alignment horizontal="right" vertical="center"/>
    </xf>
    <xf numFmtId="9" fontId="2" fillId="3" borderId="54" xfId="0" applyNumberFormat="1" applyFont="1" applyFill="1" applyBorder="1" applyAlignment="1" applyProtection="1">
      <alignment horizontal="right" vertical="center"/>
    </xf>
    <xf numFmtId="9" fontId="0" fillId="13" borderId="54" xfId="0" applyNumberFormat="1" applyFill="1" applyBorder="1" applyAlignment="1" applyProtection="1">
      <alignment horizontal="right" vertical="center"/>
    </xf>
    <xf numFmtId="9" fontId="0" fillId="14" borderId="54" xfId="0" applyNumberFormat="1" applyFill="1" applyBorder="1" applyAlignment="1" applyProtection="1">
      <alignment horizontal="right" vertical="center"/>
    </xf>
    <xf numFmtId="9" fontId="0" fillId="3" borderId="54" xfId="0" applyNumberFormat="1" applyFill="1" applyBorder="1" applyAlignment="1" applyProtection="1">
      <alignment horizontal="right" vertical="center"/>
    </xf>
    <xf numFmtId="9" fontId="20" fillId="13" borderId="26" xfId="0" applyNumberFormat="1" applyFont="1" applyFill="1" applyBorder="1" applyAlignment="1" applyProtection="1">
      <alignment horizontal="right" vertical="center"/>
    </xf>
    <xf numFmtId="171" fontId="2" fillId="14" borderId="54" xfId="14" applyNumberFormat="1" applyFont="1" applyFill="1" applyBorder="1" applyAlignment="1" applyProtection="1">
      <alignment horizontal="center" vertical="center"/>
    </xf>
    <xf numFmtId="173" fontId="49" fillId="13" borderId="57" xfId="0" applyNumberFormat="1" applyFont="1" applyFill="1" applyBorder="1" applyAlignment="1" applyProtection="1">
      <alignment horizontal="right" vertical="center"/>
    </xf>
    <xf numFmtId="173" fontId="49" fillId="14" borderId="1" xfId="0" applyNumberFormat="1" applyFont="1" applyFill="1" applyBorder="1" applyAlignment="1" applyProtection="1">
      <alignment horizontal="right" vertical="center"/>
    </xf>
    <xf numFmtId="173" fontId="49" fillId="3" borderId="1" xfId="0" applyNumberFormat="1" applyFont="1" applyFill="1" applyBorder="1" applyAlignment="1" applyProtection="1">
      <alignment horizontal="right" vertical="center"/>
    </xf>
    <xf numFmtId="173" fontId="49" fillId="13" borderId="1" xfId="0" applyNumberFormat="1" applyFont="1" applyFill="1" applyBorder="1" applyAlignment="1" applyProtection="1">
      <alignment horizontal="right" vertical="center"/>
    </xf>
    <xf numFmtId="0" fontId="17" fillId="11" borderId="54" xfId="0" applyFont="1" applyFill="1" applyBorder="1" applyAlignment="1" applyProtection="1">
      <alignment horizontal="center" vertical="center" wrapText="1"/>
    </xf>
    <xf numFmtId="0" fontId="21" fillId="7" borderId="31" xfId="0" applyFont="1" applyFill="1" applyBorder="1" applyAlignment="1" applyProtection="1">
      <alignment horizontal="center"/>
    </xf>
    <xf numFmtId="0" fontId="21" fillId="7" borderId="32" xfId="0" applyFont="1" applyFill="1" applyBorder="1" applyAlignment="1" applyProtection="1">
      <alignment horizontal="center"/>
    </xf>
    <xf numFmtId="0" fontId="21" fillId="7" borderId="33" xfId="0" applyFont="1" applyFill="1" applyBorder="1" applyAlignment="1" applyProtection="1">
      <alignment horizontal="center"/>
    </xf>
    <xf numFmtId="0" fontId="72" fillId="15" borderId="45" xfId="0" applyFont="1" applyFill="1" applyBorder="1" applyAlignment="1" applyProtection="1">
      <alignment horizontal="center" vertical="center" wrapText="1"/>
    </xf>
    <xf numFmtId="0" fontId="72" fillId="15" borderId="46" xfId="0" applyFont="1" applyFill="1" applyBorder="1" applyAlignment="1" applyProtection="1">
      <alignment horizontal="center" vertical="center" wrapText="1"/>
    </xf>
    <xf numFmtId="0" fontId="72" fillId="15" borderId="47" xfId="0" applyFont="1" applyFill="1" applyBorder="1" applyAlignment="1" applyProtection="1">
      <alignment horizontal="center" vertical="center" wrapText="1"/>
    </xf>
    <xf numFmtId="0" fontId="72" fillId="15" borderId="48" xfId="0" applyFont="1" applyFill="1" applyBorder="1" applyAlignment="1" applyProtection="1">
      <alignment horizontal="center" vertical="center" wrapText="1"/>
    </xf>
    <xf numFmtId="0" fontId="72" fillId="15" borderId="0" xfId="0" applyFont="1" applyFill="1" applyBorder="1" applyAlignment="1" applyProtection="1">
      <alignment horizontal="center" vertical="center" wrapText="1"/>
    </xf>
    <xf numFmtId="0" fontId="72" fillId="15" borderId="49" xfId="0" applyFont="1" applyFill="1" applyBorder="1" applyAlignment="1" applyProtection="1">
      <alignment horizontal="center" vertical="center" wrapText="1"/>
    </xf>
    <xf numFmtId="0" fontId="72" fillId="15" borderId="50" xfId="0" applyFont="1" applyFill="1" applyBorder="1" applyAlignment="1" applyProtection="1">
      <alignment horizontal="center" vertical="center" wrapText="1"/>
    </xf>
    <xf numFmtId="0" fontId="72" fillId="15" borderId="51" xfId="0" applyFont="1" applyFill="1" applyBorder="1" applyAlignment="1" applyProtection="1">
      <alignment horizontal="center" vertical="center" wrapText="1"/>
    </xf>
    <xf numFmtId="0" fontId="72" fillId="15" borderId="52" xfId="0" applyFont="1" applyFill="1" applyBorder="1" applyAlignment="1" applyProtection="1">
      <alignment horizontal="center" vertical="center" wrapText="1"/>
    </xf>
    <xf numFmtId="0" fontId="0" fillId="5" borderId="0" xfId="0" applyFill="1" applyBorder="1" applyAlignment="1" applyProtection="1">
      <alignment horizontal="left" vertical="center"/>
    </xf>
    <xf numFmtId="0" fontId="89" fillId="5" borderId="55" xfId="0" applyFont="1" applyFill="1" applyBorder="1" applyAlignment="1" applyProtection="1">
      <alignment horizontal="left" vertical="center" wrapText="1"/>
    </xf>
    <xf numFmtId="0" fontId="89" fillId="5" borderId="0" xfId="0" applyFont="1" applyFill="1" applyBorder="1" applyAlignment="1" applyProtection="1">
      <alignment horizontal="left" vertical="center" wrapText="1"/>
    </xf>
    <xf numFmtId="0" fontId="89" fillId="5" borderId="74" xfId="0" applyFont="1" applyFill="1" applyBorder="1" applyAlignment="1" applyProtection="1">
      <alignment horizontal="left" vertical="center" wrapText="1"/>
    </xf>
    <xf numFmtId="0" fontId="12" fillId="52" borderId="0" xfId="0" applyFont="1" applyFill="1" applyAlignment="1" applyProtection="1">
      <alignment horizontal="center"/>
    </xf>
    <xf numFmtId="0" fontId="26" fillId="0" borderId="55"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1" fillId="7" borderId="55"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24" fillId="15" borderId="58" xfId="0" applyFont="1" applyFill="1" applyBorder="1" applyAlignment="1" applyProtection="1">
      <alignment horizontal="center" vertical="center" wrapText="1"/>
    </xf>
    <xf numFmtId="0" fontId="24" fillId="15" borderId="56" xfId="0" applyFont="1" applyFill="1" applyBorder="1" applyAlignment="1" applyProtection="1">
      <alignment horizontal="center" vertical="center" wrapText="1"/>
    </xf>
    <xf numFmtId="0" fontId="24" fillId="15" borderId="57" xfId="0" applyFont="1" applyFill="1" applyBorder="1" applyAlignment="1" applyProtection="1">
      <alignment horizontal="center" vertical="center" wrapText="1"/>
    </xf>
    <xf numFmtId="0" fontId="21" fillId="7" borderId="28" xfId="0" applyFont="1" applyFill="1" applyBorder="1" applyAlignment="1" applyProtection="1">
      <alignment horizontal="center"/>
    </xf>
    <xf numFmtId="0" fontId="21" fillId="7" borderId="23" xfId="0" applyFont="1" applyFill="1" applyBorder="1" applyAlignment="1" applyProtection="1">
      <alignment horizontal="center"/>
    </xf>
    <xf numFmtId="0" fontId="21" fillId="7" borderId="24" xfId="0" applyFont="1" applyFill="1" applyBorder="1" applyAlignment="1" applyProtection="1">
      <alignment horizontal="center"/>
    </xf>
    <xf numFmtId="0" fontId="0" fillId="10" borderId="85" xfId="0" applyFill="1" applyBorder="1" applyAlignment="1" applyProtection="1">
      <alignment horizontal="center"/>
    </xf>
    <xf numFmtId="0" fontId="0" fillId="10" borderId="5" xfId="0" applyFill="1" applyBorder="1" applyAlignment="1" applyProtection="1">
      <alignment horizontal="center"/>
    </xf>
    <xf numFmtId="0" fontId="19" fillId="8" borderId="53" xfId="0" applyFont="1" applyFill="1" applyBorder="1" applyAlignment="1" applyProtection="1">
      <alignment horizontal="center"/>
    </xf>
    <xf numFmtId="0" fontId="19" fillId="8" borderId="7" xfId="0" applyFont="1" applyFill="1" applyBorder="1" applyAlignment="1" applyProtection="1">
      <alignment horizontal="center"/>
    </xf>
    <xf numFmtId="0" fontId="19" fillId="8" borderId="8" xfId="0" applyFont="1" applyFill="1" applyBorder="1" applyAlignment="1" applyProtection="1">
      <alignment horizontal="center"/>
    </xf>
    <xf numFmtId="0" fontId="19" fillId="11" borderId="53" xfId="0" applyFont="1" applyFill="1" applyBorder="1" applyAlignment="1" applyProtection="1">
      <alignment horizontal="center"/>
    </xf>
    <xf numFmtId="0" fontId="19" fillId="11" borderId="7" xfId="0" applyFont="1" applyFill="1" applyBorder="1" applyAlignment="1" applyProtection="1">
      <alignment horizontal="center"/>
    </xf>
    <xf numFmtId="0" fontId="19" fillId="11" borderId="8" xfId="0" applyFont="1" applyFill="1" applyBorder="1" applyAlignment="1" applyProtection="1">
      <alignment horizontal="center"/>
    </xf>
    <xf numFmtId="0" fontId="35" fillId="0" borderId="1" xfId="0" applyFont="1" applyBorder="1" applyAlignment="1" applyProtection="1">
      <alignment horizontal="center" vertical="center" wrapText="1"/>
    </xf>
    <xf numFmtId="0" fontId="19" fillId="12" borderId="53" xfId="0" applyFont="1" applyFill="1" applyBorder="1" applyAlignment="1" applyProtection="1">
      <alignment horizontal="center"/>
    </xf>
    <xf numFmtId="0" fontId="19" fillId="12" borderId="7" xfId="0" applyFont="1" applyFill="1" applyBorder="1" applyAlignment="1" applyProtection="1">
      <alignment horizontal="center"/>
    </xf>
    <xf numFmtId="0" fontId="19" fillId="12" borderId="8" xfId="0" applyFont="1" applyFill="1" applyBorder="1" applyAlignment="1" applyProtection="1">
      <alignment horizontal="center"/>
    </xf>
    <xf numFmtId="0" fontId="27" fillId="0" borderId="18" xfId="0" applyFont="1" applyBorder="1" applyAlignment="1" applyProtection="1">
      <alignment horizontal="center"/>
    </xf>
    <xf numFmtId="0" fontId="27" fillId="0" borderId="91" xfId="0" applyFont="1" applyBorder="1" applyAlignment="1" applyProtection="1">
      <alignment horizontal="center"/>
    </xf>
    <xf numFmtId="0" fontId="30" fillId="0" borderId="90" xfId="0" applyFont="1" applyBorder="1" applyAlignment="1" applyProtection="1">
      <alignment horizontal="center" vertical="center"/>
    </xf>
    <xf numFmtId="0" fontId="30" fillId="0" borderId="41" xfId="0" applyFont="1" applyBorder="1" applyAlignment="1" applyProtection="1">
      <alignment horizontal="center" vertical="center"/>
    </xf>
    <xf numFmtId="0" fontId="75" fillId="7" borderId="39" xfId="0" applyFont="1" applyFill="1" applyBorder="1" applyAlignment="1" applyProtection="1">
      <alignment horizontal="center" vertical="center"/>
    </xf>
    <xf numFmtId="0" fontId="21" fillId="7" borderId="40" xfId="0" applyFont="1" applyFill="1" applyBorder="1" applyAlignment="1" applyProtection="1">
      <alignment horizontal="center" vertical="center"/>
    </xf>
    <xf numFmtId="0" fontId="27" fillId="0" borderId="95" xfId="0" applyFont="1" applyBorder="1" applyAlignment="1" applyProtection="1">
      <alignment horizontal="center"/>
    </xf>
    <xf numFmtId="0" fontId="27" fillId="0" borderId="96" xfId="0" applyFont="1" applyBorder="1" applyAlignment="1" applyProtection="1">
      <alignment horizontal="center"/>
    </xf>
    <xf numFmtId="0" fontId="21" fillId="7" borderId="48" xfId="0" applyFont="1" applyFill="1" applyBorder="1" applyAlignment="1" applyProtection="1">
      <alignment horizontal="center" vertical="center"/>
    </xf>
    <xf numFmtId="0" fontId="21" fillId="7" borderId="0" xfId="0" applyFont="1" applyFill="1" applyBorder="1" applyAlignment="1" applyProtection="1">
      <alignment horizontal="center" vertical="center"/>
    </xf>
    <xf numFmtId="0" fontId="33" fillId="7" borderId="0" xfId="0" applyFont="1" applyFill="1" applyBorder="1" applyAlignment="1" applyProtection="1">
      <alignment horizontal="left"/>
      <protection locked="0"/>
    </xf>
    <xf numFmtId="0" fontId="35" fillId="0" borderId="90" xfId="0" applyFont="1" applyBorder="1" applyAlignment="1" applyProtection="1">
      <alignment horizontal="center" vertical="center" wrapText="1"/>
    </xf>
    <xf numFmtId="0" fontId="21" fillId="7" borderId="87" xfId="0" applyFont="1" applyFill="1" applyBorder="1" applyAlignment="1" applyProtection="1">
      <alignment horizontal="center" vertical="center" wrapText="1"/>
    </xf>
    <xf numFmtId="0" fontId="21" fillId="7" borderId="88" xfId="0" applyFont="1" applyFill="1" applyBorder="1" applyAlignment="1" applyProtection="1">
      <alignment horizontal="center" vertical="center" wrapText="1"/>
    </xf>
    <xf numFmtId="0" fontId="21" fillId="7" borderId="89" xfId="0" applyFont="1" applyFill="1" applyBorder="1" applyAlignment="1" applyProtection="1">
      <alignment horizontal="center" vertical="center" wrapText="1"/>
    </xf>
    <xf numFmtId="0" fontId="21" fillId="7" borderId="87" xfId="0" applyFont="1" applyFill="1" applyBorder="1" applyAlignment="1" applyProtection="1">
      <alignment horizontal="center"/>
    </xf>
    <xf numFmtId="0" fontId="21" fillId="7" borderId="88" xfId="0" applyFont="1" applyFill="1" applyBorder="1" applyAlignment="1" applyProtection="1">
      <alignment horizontal="center"/>
    </xf>
    <xf numFmtId="0" fontId="21" fillId="7" borderId="89" xfId="0" applyFont="1" applyFill="1" applyBorder="1" applyAlignment="1" applyProtection="1">
      <alignment horizontal="center"/>
    </xf>
    <xf numFmtId="0" fontId="1" fillId="13" borderId="78" xfId="0" applyFont="1" applyFill="1" applyBorder="1" applyAlignment="1" applyProtection="1">
      <alignment horizontal="center" vertical="center"/>
    </xf>
    <xf numFmtId="0" fontId="6" fillId="13" borderId="79" xfId="0" applyFont="1" applyFill="1" applyBorder="1" applyAlignment="1" applyProtection="1">
      <alignment horizontal="center" vertical="center"/>
    </xf>
    <xf numFmtId="0" fontId="6" fillId="13" borderId="80" xfId="0" applyFont="1" applyFill="1" applyBorder="1" applyAlignment="1" applyProtection="1">
      <alignment horizontal="center" vertical="center"/>
    </xf>
    <xf numFmtId="0" fontId="1" fillId="14" borderId="29" xfId="0" applyFont="1" applyFill="1" applyBorder="1" applyAlignment="1" applyProtection="1">
      <alignment horizontal="center" vertical="center"/>
    </xf>
    <xf numFmtId="0" fontId="6" fillId="14" borderId="29" xfId="0" applyFont="1" applyFill="1" applyBorder="1" applyAlignment="1" applyProtection="1">
      <alignment horizontal="center" vertical="center"/>
    </xf>
    <xf numFmtId="0" fontId="6" fillId="14" borderId="30" xfId="0" applyFont="1" applyFill="1" applyBorder="1" applyAlignment="1" applyProtection="1">
      <alignment horizontal="center" vertical="center"/>
    </xf>
    <xf numFmtId="0" fontId="1" fillId="13" borderId="29" xfId="0" applyFont="1" applyFill="1" applyBorder="1" applyAlignment="1" applyProtection="1">
      <alignment horizontal="center"/>
    </xf>
    <xf numFmtId="0" fontId="6" fillId="13" borderId="1" xfId="0" applyFont="1" applyFill="1" applyBorder="1" applyAlignment="1" applyProtection="1">
      <alignment horizontal="center"/>
    </xf>
    <xf numFmtId="0" fontId="1" fillId="14" borderId="29" xfId="0" applyFont="1" applyFill="1" applyBorder="1" applyAlignment="1" applyProtection="1">
      <alignment horizontal="center"/>
    </xf>
    <xf numFmtId="0" fontId="6" fillId="14" borderId="1" xfId="0" applyFont="1" applyFill="1" applyBorder="1" applyAlignment="1" applyProtection="1">
      <alignment horizontal="center"/>
    </xf>
    <xf numFmtId="0" fontId="31" fillId="0" borderId="29" xfId="0" applyFont="1" applyFill="1" applyBorder="1" applyAlignment="1" applyProtection="1">
      <alignment horizontal="center"/>
    </xf>
    <xf numFmtId="0" fontId="31" fillId="0" borderId="1" xfId="0" applyFont="1" applyFill="1" applyBorder="1" applyAlignment="1" applyProtection="1">
      <alignment horizontal="center"/>
    </xf>
    <xf numFmtId="0" fontId="20" fillId="3" borderId="6" xfId="0" applyFont="1" applyFill="1" applyBorder="1" applyAlignment="1" applyProtection="1">
      <alignment horizontal="right"/>
    </xf>
    <xf numFmtId="0" fontId="20" fillId="3" borderId="8" xfId="0" applyFont="1" applyFill="1" applyBorder="1" applyAlignment="1" applyProtection="1">
      <alignment horizontal="right"/>
    </xf>
    <xf numFmtId="0" fontId="33" fillId="7" borderId="0" xfId="0" applyFont="1" applyFill="1" applyAlignment="1" applyProtection="1">
      <alignment horizontal="left"/>
      <protection locked="0"/>
    </xf>
    <xf numFmtId="0" fontId="1" fillId="14" borderId="1" xfId="0" applyFont="1" applyFill="1" applyBorder="1" applyAlignment="1" applyProtection="1">
      <alignment horizontal="center" vertical="center"/>
    </xf>
    <xf numFmtId="0" fontId="9" fillId="14" borderId="1" xfId="0" applyFont="1" applyFill="1" applyBorder="1" applyAlignment="1" applyProtection="1">
      <alignment horizontal="center" vertical="center"/>
    </xf>
    <xf numFmtId="0" fontId="1" fillId="13" borderId="1" xfId="0" applyFont="1" applyFill="1" applyBorder="1" applyAlignment="1" applyProtection="1">
      <alignment horizontal="center"/>
    </xf>
    <xf numFmtId="0" fontId="9" fillId="13" borderId="1" xfId="0" applyFont="1" applyFill="1" applyBorder="1" applyAlignment="1" applyProtection="1">
      <alignment horizontal="center"/>
    </xf>
    <xf numFmtId="0" fontId="1" fillId="14" borderId="1" xfId="0" applyFont="1" applyFill="1" applyBorder="1" applyAlignment="1" applyProtection="1">
      <alignment horizontal="center"/>
    </xf>
    <xf numFmtId="0" fontId="9" fillId="14" borderId="1" xfId="0" applyFont="1" applyFill="1" applyBorder="1" applyAlignment="1" applyProtection="1">
      <alignment horizontal="center"/>
    </xf>
    <xf numFmtId="0" fontId="21" fillId="7" borderId="6" xfId="0" applyFont="1" applyFill="1" applyBorder="1" applyAlignment="1" applyProtection="1">
      <alignment horizontal="center" vertical="center"/>
    </xf>
    <xf numFmtId="0" fontId="21" fillId="7" borderId="7" xfId="0" applyFont="1" applyFill="1" applyBorder="1" applyAlignment="1" applyProtection="1">
      <alignment horizontal="center" vertical="center"/>
    </xf>
    <xf numFmtId="0" fontId="21" fillId="7" borderId="8" xfId="0" applyFont="1" applyFill="1" applyBorder="1" applyAlignment="1" applyProtection="1">
      <alignment horizontal="center" vertical="center"/>
    </xf>
    <xf numFmtId="0" fontId="35" fillId="0" borderId="6" xfId="0" applyFont="1" applyFill="1" applyBorder="1" applyAlignment="1" applyProtection="1">
      <alignment horizontal="center"/>
    </xf>
    <xf numFmtId="0" fontId="35" fillId="0" borderId="8" xfId="0" applyFont="1" applyFill="1" applyBorder="1" applyAlignment="1" applyProtection="1">
      <alignment horizontal="center"/>
    </xf>
    <xf numFmtId="0" fontId="1" fillId="13" borderId="3" xfId="0" applyFont="1" applyFill="1" applyBorder="1" applyAlignment="1" applyProtection="1">
      <alignment horizontal="center" vertical="center"/>
    </xf>
    <xf numFmtId="0" fontId="9" fillId="13" borderId="2" xfId="0" applyFont="1" applyFill="1" applyBorder="1" applyAlignment="1" applyProtection="1">
      <alignment horizontal="center" vertical="center"/>
    </xf>
    <xf numFmtId="0" fontId="9" fillId="13" borderId="56" xfId="0" applyFont="1" applyFill="1" applyBorder="1" applyAlignment="1" applyProtection="1">
      <alignment horizontal="center" vertical="center"/>
    </xf>
    <xf numFmtId="0" fontId="9" fillId="13" borderId="4" xfId="0" applyFont="1" applyFill="1" applyBorder="1" applyAlignment="1" applyProtection="1">
      <alignment horizontal="center" vertical="center"/>
    </xf>
    <xf numFmtId="0" fontId="58" fillId="13" borderId="18" xfId="0" applyFont="1" applyFill="1" applyBorder="1" applyAlignment="1" applyProtection="1">
      <alignment horizontal="left" vertical="center"/>
    </xf>
    <xf numFmtId="0" fontId="58" fillId="13" borderId="69" xfId="0" applyFont="1" applyFill="1" applyBorder="1" applyAlignment="1" applyProtection="1">
      <alignment horizontal="left" vertical="center"/>
    </xf>
    <xf numFmtId="0" fontId="41" fillId="7" borderId="1" xfId="0" applyFont="1" applyFill="1" applyBorder="1" applyAlignment="1" applyProtection="1">
      <alignment horizontal="center"/>
    </xf>
    <xf numFmtId="0" fontId="58" fillId="3" borderId="18" xfId="0" applyFont="1" applyFill="1" applyBorder="1" applyAlignment="1" applyProtection="1">
      <alignment horizontal="left" vertical="center"/>
    </xf>
    <xf numFmtId="0" fontId="19" fillId="7" borderId="18" xfId="0" applyFont="1" applyFill="1" applyBorder="1" applyAlignment="1" applyProtection="1">
      <alignment horizontal="center" vertical="center"/>
    </xf>
    <xf numFmtId="0" fontId="58" fillId="14" borderId="69" xfId="0" applyFont="1" applyFill="1" applyBorder="1" applyAlignment="1" applyProtection="1">
      <alignment horizontal="left" vertical="center"/>
    </xf>
    <xf numFmtId="0" fontId="58" fillId="14" borderId="21" xfId="0" applyFont="1" applyFill="1" applyBorder="1" applyAlignment="1" applyProtection="1">
      <alignment horizontal="left" vertical="center"/>
    </xf>
    <xf numFmtId="0" fontId="58" fillId="14" borderId="22" xfId="0" applyFont="1" applyFill="1" applyBorder="1" applyAlignment="1" applyProtection="1">
      <alignment horizontal="left" vertical="center"/>
    </xf>
    <xf numFmtId="165" fontId="7" fillId="13" borderId="18" xfId="0" applyNumberFormat="1" applyFont="1" applyFill="1" applyBorder="1" applyAlignment="1" applyProtection="1">
      <alignment horizontal="center" vertical="center"/>
    </xf>
    <xf numFmtId="165" fontId="8" fillId="13" borderId="18" xfId="0" applyNumberFormat="1" applyFont="1" applyFill="1" applyBorder="1" applyAlignment="1" applyProtection="1">
      <alignment horizontal="center" vertical="center"/>
    </xf>
    <xf numFmtId="165" fontId="7" fillId="3" borderId="18" xfId="0" applyNumberFormat="1" applyFont="1" applyFill="1" applyBorder="1" applyAlignment="1" applyProtection="1">
      <alignment horizontal="center" vertical="center"/>
    </xf>
    <xf numFmtId="2" fontId="49" fillId="3" borderId="18" xfId="0" applyNumberFormat="1" applyFont="1" applyFill="1" applyBorder="1" applyAlignment="1" applyProtection="1">
      <alignment horizontal="center" vertical="center"/>
    </xf>
    <xf numFmtId="2" fontId="6" fillId="3" borderId="18" xfId="0" applyNumberFormat="1" applyFont="1" applyFill="1" applyBorder="1" applyAlignment="1" applyProtection="1">
      <alignment horizontal="center" vertical="center"/>
    </xf>
    <xf numFmtId="4" fontId="37" fillId="6" borderId="59" xfId="1" applyNumberFormat="1" applyFont="1" applyBorder="1" applyAlignment="1" applyProtection="1">
      <alignment horizontal="center" vertical="center"/>
      <protection locked="0"/>
    </xf>
    <xf numFmtId="4" fontId="37" fillId="6" borderId="56" xfId="1" applyNumberFormat="1" applyFont="1" applyBorder="1" applyAlignment="1" applyProtection="1">
      <alignment horizontal="center" vertical="center"/>
      <protection locked="0"/>
    </xf>
    <xf numFmtId="4" fontId="37" fillId="6" borderId="60" xfId="1" applyNumberFormat="1" applyFont="1" applyBorder="1" applyAlignment="1" applyProtection="1">
      <alignment horizontal="center" vertical="center"/>
      <protection locked="0"/>
    </xf>
    <xf numFmtId="0" fontId="1" fillId="13" borderId="59" xfId="0" applyFont="1" applyFill="1" applyBorder="1" applyAlignment="1" applyProtection="1">
      <alignment horizontal="center"/>
    </xf>
    <xf numFmtId="0" fontId="1" fillId="13" borderId="60" xfId="0" applyFont="1" applyFill="1" applyBorder="1" applyAlignment="1" applyProtection="1">
      <alignment horizontal="center"/>
    </xf>
    <xf numFmtId="0" fontId="1" fillId="13" borderId="59" xfId="0" applyFont="1" applyFill="1" applyBorder="1" applyAlignment="1" applyProtection="1">
      <alignment horizontal="center" vertical="center"/>
    </xf>
    <xf numFmtId="0" fontId="1" fillId="13" borderId="60" xfId="0" applyFont="1" applyFill="1" applyBorder="1" applyAlignment="1" applyProtection="1">
      <alignment horizontal="center" vertical="center"/>
    </xf>
    <xf numFmtId="0" fontId="1" fillId="3" borderId="59" xfId="0" applyFont="1" applyFill="1" applyBorder="1" applyAlignment="1" applyProtection="1">
      <alignment horizontal="center" vertical="center"/>
    </xf>
    <xf numFmtId="0" fontId="1" fillId="3" borderId="60" xfId="0" applyFont="1" applyFill="1" applyBorder="1" applyAlignment="1" applyProtection="1">
      <alignment horizontal="center" vertical="center"/>
    </xf>
    <xf numFmtId="0" fontId="1" fillId="13" borderId="56" xfId="0" applyFont="1" applyFill="1" applyBorder="1" applyAlignment="1" applyProtection="1">
      <alignment horizontal="center" vertical="center"/>
    </xf>
    <xf numFmtId="0" fontId="1" fillId="14" borderId="59" xfId="0" applyFont="1" applyFill="1" applyBorder="1" applyAlignment="1" applyProtection="1">
      <alignment horizontal="center" vertical="center"/>
    </xf>
    <xf numFmtId="0" fontId="1" fillId="14" borderId="56" xfId="0" applyFont="1" applyFill="1" applyBorder="1" applyAlignment="1" applyProtection="1">
      <alignment horizontal="center" vertical="center"/>
    </xf>
    <xf numFmtId="0" fontId="1" fillId="14" borderId="60" xfId="0" applyFont="1" applyFill="1" applyBorder="1" applyAlignment="1" applyProtection="1">
      <alignment horizontal="center" vertical="center"/>
    </xf>
    <xf numFmtId="0" fontId="1" fillId="3" borderId="56" xfId="0" applyFont="1" applyFill="1" applyBorder="1" applyAlignment="1" applyProtection="1">
      <alignment horizontal="center" vertical="center"/>
    </xf>
    <xf numFmtId="0" fontId="1" fillId="3" borderId="57" xfId="0" applyFont="1" applyFill="1" applyBorder="1" applyAlignment="1" applyProtection="1">
      <alignment horizontal="center" vertical="center"/>
    </xf>
    <xf numFmtId="0" fontId="1" fillId="13" borderId="58" xfId="0" applyFont="1" applyFill="1" applyBorder="1" applyAlignment="1" applyProtection="1">
      <alignment horizontal="center" vertical="center"/>
    </xf>
    <xf numFmtId="0" fontId="1" fillId="13" borderId="57" xfId="0" applyFont="1" applyFill="1" applyBorder="1" applyAlignment="1" applyProtection="1">
      <alignment horizontal="center" vertical="center"/>
    </xf>
    <xf numFmtId="0" fontId="1" fillId="14" borderId="58" xfId="0" applyFont="1" applyFill="1" applyBorder="1" applyAlignment="1" applyProtection="1">
      <alignment horizontal="center" vertical="center"/>
    </xf>
    <xf numFmtId="0" fontId="20" fillId="3" borderId="53" xfId="0" applyFont="1" applyFill="1" applyBorder="1" applyAlignment="1" applyProtection="1">
      <alignment horizontal="right"/>
    </xf>
    <xf numFmtId="0" fontId="21" fillId="7" borderId="54" xfId="0" applyFont="1" applyFill="1" applyBorder="1" applyAlignment="1" applyProtection="1">
      <alignment horizontal="center" vertical="center"/>
    </xf>
    <xf numFmtId="165" fontId="7" fillId="14" borderId="18" xfId="0" applyNumberFormat="1" applyFont="1" applyFill="1" applyBorder="1" applyAlignment="1" applyProtection="1">
      <alignment horizontal="center" vertical="center"/>
    </xf>
    <xf numFmtId="165" fontId="8" fillId="14" borderId="18" xfId="0" applyNumberFormat="1" applyFont="1" applyFill="1" applyBorder="1" applyAlignment="1" applyProtection="1">
      <alignment horizontal="center" vertical="center"/>
    </xf>
    <xf numFmtId="0" fontId="92" fillId="0" borderId="99" xfId="0" applyFont="1" applyFill="1" applyBorder="1" applyAlignment="1" applyProtection="1">
      <alignment horizontal="left" vertical="center"/>
    </xf>
    <xf numFmtId="0" fontId="92" fillId="0" borderId="8" xfId="0" applyFont="1" applyFill="1" applyBorder="1" applyAlignment="1" applyProtection="1">
      <alignment horizontal="left" vertical="center"/>
    </xf>
    <xf numFmtId="0" fontId="20" fillId="3" borderId="100" xfId="0" applyFont="1" applyFill="1" applyBorder="1" applyAlignment="1" applyProtection="1">
      <alignment horizontal="right"/>
    </xf>
    <xf numFmtId="0" fontId="20" fillId="3" borderId="101" xfId="0" applyFont="1" applyFill="1" applyBorder="1" applyAlignment="1" applyProtection="1">
      <alignment horizontal="right"/>
    </xf>
    <xf numFmtId="0" fontId="1" fillId="13" borderId="54" xfId="0" applyFont="1" applyFill="1" applyBorder="1" applyAlignment="1" applyProtection="1">
      <alignment horizontal="center"/>
    </xf>
    <xf numFmtId="0" fontId="1" fillId="14" borderId="54" xfId="0" applyFont="1" applyFill="1" applyBorder="1" applyAlignment="1" applyProtection="1">
      <alignment horizontal="center"/>
    </xf>
    <xf numFmtId="0" fontId="1" fillId="14" borderId="54" xfId="0" applyFont="1" applyFill="1" applyBorder="1" applyAlignment="1" applyProtection="1">
      <alignment horizontal="center" vertical="center"/>
    </xf>
    <xf numFmtId="0" fontId="9" fillId="14" borderId="29" xfId="0" applyFont="1" applyFill="1" applyBorder="1" applyAlignment="1" applyProtection="1">
      <alignment horizontal="center" vertical="center"/>
    </xf>
    <xf numFmtId="0" fontId="9" fillId="13" borderId="29" xfId="0" applyFont="1" applyFill="1" applyBorder="1" applyAlignment="1" applyProtection="1">
      <alignment horizontal="center"/>
    </xf>
    <xf numFmtId="0" fontId="9" fillId="13" borderId="54" xfId="0" applyFont="1" applyFill="1" applyBorder="1" applyAlignment="1" applyProtection="1">
      <alignment horizontal="center"/>
    </xf>
    <xf numFmtId="0" fontId="9" fillId="14" borderId="29" xfId="0" applyFont="1" applyFill="1" applyBorder="1" applyAlignment="1" applyProtection="1">
      <alignment horizontal="center"/>
    </xf>
    <xf numFmtId="0" fontId="9" fillId="14" borderId="54" xfId="0" applyFont="1" applyFill="1" applyBorder="1" applyAlignment="1" applyProtection="1">
      <alignment horizontal="center"/>
    </xf>
    <xf numFmtId="165" fontId="8" fillId="3" borderId="18" xfId="0" applyNumberFormat="1" applyFont="1" applyFill="1" applyBorder="1" applyAlignment="1" applyProtection="1">
      <alignment horizontal="center" vertical="center"/>
    </xf>
    <xf numFmtId="4" fontId="37" fillId="6" borderId="58" xfId="1" applyNumberFormat="1" applyFont="1" applyBorder="1" applyAlignment="1" applyProtection="1">
      <alignment horizontal="center"/>
      <protection locked="0"/>
    </xf>
    <xf numFmtId="4" fontId="37" fillId="6" borderId="60" xfId="1" applyNumberFormat="1" applyFont="1" applyBorder="1" applyAlignment="1" applyProtection="1">
      <alignment horizontal="center"/>
      <protection locked="0"/>
    </xf>
    <xf numFmtId="0" fontId="35" fillId="0" borderId="53" xfId="0" applyFont="1" applyFill="1" applyBorder="1" applyAlignment="1" applyProtection="1">
      <alignment horizontal="center"/>
    </xf>
    <xf numFmtId="0" fontId="9" fillId="13" borderId="78" xfId="0" applyFont="1" applyFill="1" applyBorder="1" applyAlignment="1" applyProtection="1">
      <alignment horizontal="center" vertical="center"/>
    </xf>
    <xf numFmtId="0" fontId="9" fillId="13" borderId="79" xfId="0"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03" fillId="14" borderId="53" xfId="0" applyFont="1" applyFill="1" applyBorder="1" applyAlignment="1" applyProtection="1">
      <alignment horizontal="left" vertical="center"/>
    </xf>
    <xf numFmtId="0" fontId="103" fillId="13" borderId="65" xfId="0" applyFont="1" applyFill="1" applyBorder="1" applyAlignment="1" applyProtection="1">
      <alignment horizontal="left" vertical="center" wrapText="1"/>
    </xf>
    <xf numFmtId="0" fontId="103" fillId="13" borderId="65" xfId="0" applyFont="1" applyFill="1" applyBorder="1" applyAlignment="1" applyProtection="1">
      <alignment horizontal="left" vertical="center"/>
    </xf>
    <xf numFmtId="0" fontId="103" fillId="3" borderId="53" xfId="0" applyFont="1" applyFill="1" applyBorder="1" applyAlignment="1" applyProtection="1">
      <alignment horizontal="left" vertical="center" wrapText="1"/>
    </xf>
    <xf numFmtId="0" fontId="103" fillId="3" borderId="53" xfId="0" applyFont="1" applyFill="1" applyBorder="1" applyAlignment="1" applyProtection="1">
      <alignment horizontal="left" vertical="center"/>
    </xf>
    <xf numFmtId="0" fontId="103" fillId="13" borderId="66" xfId="0" applyFont="1" applyFill="1" applyBorder="1" applyAlignment="1" applyProtection="1">
      <alignment horizontal="left" vertical="center"/>
    </xf>
    <xf numFmtId="0" fontId="103" fillId="13" borderId="67" xfId="0" applyFont="1" applyFill="1" applyBorder="1" applyAlignment="1" applyProtection="1">
      <alignment horizontal="left" vertical="center"/>
    </xf>
    <xf numFmtId="0" fontId="103" fillId="13" borderId="68" xfId="0" applyFont="1" applyFill="1" applyBorder="1" applyAlignment="1" applyProtection="1">
      <alignment horizontal="left" vertical="center"/>
    </xf>
    <xf numFmtId="0" fontId="43" fillId="5" borderId="57" xfId="0" applyFont="1" applyFill="1" applyBorder="1" applyAlignment="1" applyProtection="1">
      <alignment horizontal="center" vertical="center"/>
    </xf>
    <xf numFmtId="0" fontId="43" fillId="5" borderId="58" xfId="0" applyFont="1" applyFill="1" applyBorder="1" applyAlignment="1" applyProtection="1">
      <alignment horizontal="center" vertical="center"/>
    </xf>
    <xf numFmtId="0" fontId="43" fillId="5" borderId="57" xfId="0" applyFont="1" applyFill="1" applyBorder="1" applyAlignment="1" applyProtection="1">
      <alignment horizontal="center" vertical="center" wrapText="1"/>
    </xf>
    <xf numFmtId="0" fontId="43" fillId="5" borderId="54" xfId="0" applyFont="1" applyFill="1" applyBorder="1" applyAlignment="1" applyProtection="1">
      <alignment horizontal="center" vertical="center"/>
    </xf>
    <xf numFmtId="0" fontId="41" fillId="7" borderId="1" xfId="0" applyFont="1" applyFill="1" applyBorder="1" applyAlignment="1" applyProtection="1">
      <alignment horizontal="center" vertical="center"/>
    </xf>
    <xf numFmtId="0" fontId="43" fillId="5" borderId="58" xfId="0" applyFont="1" applyFill="1" applyBorder="1" applyAlignment="1" applyProtection="1">
      <alignment horizontal="center" vertical="center" wrapText="1"/>
    </xf>
    <xf numFmtId="0" fontId="21" fillId="7" borderId="18" xfId="0" applyFont="1" applyFill="1" applyBorder="1" applyAlignment="1" applyProtection="1">
      <alignment horizontal="center"/>
    </xf>
    <xf numFmtId="0" fontId="21" fillId="7" borderId="18" xfId="0" applyFont="1" applyFill="1" applyBorder="1" applyAlignment="1" applyProtection="1">
      <alignment horizontal="center" wrapText="1"/>
    </xf>
    <xf numFmtId="0" fontId="21" fillId="7" borderId="22" xfId="0" applyFont="1" applyFill="1" applyBorder="1" applyAlignment="1" applyProtection="1">
      <alignment horizontal="center" wrapText="1"/>
    </xf>
    <xf numFmtId="0" fontId="21" fillId="7" borderId="95" xfId="0" applyFont="1" applyFill="1" applyBorder="1" applyAlignment="1" applyProtection="1">
      <alignment horizontal="center"/>
    </xf>
    <xf numFmtId="0" fontId="21" fillId="7" borderId="96" xfId="0" applyFont="1" applyFill="1" applyBorder="1" applyAlignment="1" applyProtection="1">
      <alignment horizontal="center"/>
    </xf>
    <xf numFmtId="0" fontId="21" fillId="7" borderId="0" xfId="0" applyFont="1" applyFill="1" applyBorder="1" applyAlignment="1" applyProtection="1">
      <alignment horizontal="center"/>
    </xf>
    <xf numFmtId="0" fontId="90" fillId="17" borderId="0" xfId="0" applyFont="1" applyFill="1" applyBorder="1" applyAlignment="1" applyProtection="1">
      <alignment horizontal="left" vertical="center" wrapText="1"/>
    </xf>
    <xf numFmtId="0" fontId="48" fillId="17" borderId="0" xfId="0" applyFont="1" applyFill="1" applyAlignment="1" applyProtection="1">
      <alignment horizontal="left" wrapText="1"/>
    </xf>
    <xf numFmtId="0" fontId="48" fillId="17" borderId="0" xfId="0" applyFont="1" applyFill="1" applyAlignment="1" applyProtection="1">
      <alignment horizontal="left" vertical="center" wrapText="1"/>
    </xf>
    <xf numFmtId="0" fontId="99" fillId="7" borderId="95" xfId="0" applyFont="1" applyFill="1" applyBorder="1" applyAlignment="1" applyProtection="1">
      <alignment horizontal="center" wrapText="1"/>
    </xf>
    <xf numFmtId="0" fontId="99" fillId="7" borderId="96" xfId="0" applyFont="1" applyFill="1" applyBorder="1" applyAlignment="1" applyProtection="1">
      <alignment horizontal="center" wrapText="1"/>
    </xf>
    <xf numFmtId="0" fontId="21" fillId="7" borderId="95" xfId="0" applyFont="1" applyFill="1" applyBorder="1" applyAlignment="1" applyProtection="1">
      <alignment horizontal="center" vertical="center" wrapText="1"/>
    </xf>
    <xf numFmtId="0" fontId="21" fillId="7" borderId="96" xfId="0" applyFont="1" applyFill="1" applyBorder="1" applyAlignment="1" applyProtection="1">
      <alignment horizontal="center" vertical="center" wrapText="1"/>
    </xf>
    <xf numFmtId="0" fontId="57" fillId="7" borderId="102" xfId="0" applyFont="1" applyFill="1" applyBorder="1" applyAlignment="1" applyProtection="1">
      <alignment horizontal="center" vertical="center" wrapText="1"/>
    </xf>
    <xf numFmtId="0" fontId="57" fillId="7" borderId="0" xfId="0" applyFont="1" applyFill="1" applyBorder="1" applyAlignment="1" applyProtection="1">
      <alignment horizontal="center" vertical="center" wrapText="1"/>
    </xf>
    <xf numFmtId="0" fontId="21" fillId="7" borderId="102" xfId="0" applyFont="1" applyFill="1" applyBorder="1" applyAlignment="1" applyProtection="1">
      <alignment horizontal="center" vertical="center"/>
    </xf>
    <xf numFmtId="0" fontId="58" fillId="8" borderId="113" xfId="0" applyFont="1" applyFill="1" applyBorder="1" applyAlignment="1" applyProtection="1">
      <alignment horizontal="center" vertical="center" wrapText="1"/>
    </xf>
    <xf numFmtId="0" fontId="58" fillId="8" borderId="114" xfId="0" applyFont="1" applyFill="1" applyBorder="1" applyAlignment="1" applyProtection="1">
      <alignment horizontal="center" vertical="center" wrapText="1"/>
    </xf>
    <xf numFmtId="0" fontId="58" fillId="8" borderId="115" xfId="0" applyFont="1" applyFill="1" applyBorder="1" applyAlignment="1" applyProtection="1">
      <alignment horizontal="center" vertical="center" wrapText="1"/>
    </xf>
    <xf numFmtId="165" fontId="6" fillId="14" borderId="18" xfId="0" applyNumberFormat="1" applyFont="1" applyFill="1" applyBorder="1" applyAlignment="1" applyProtection="1">
      <alignment horizontal="center" vertical="center"/>
    </xf>
    <xf numFmtId="165" fontId="4" fillId="13" borderId="18" xfId="0" applyNumberFormat="1" applyFont="1" applyFill="1" applyBorder="1" applyAlignment="1" applyProtection="1">
      <alignment horizontal="center" vertical="center"/>
    </xf>
    <xf numFmtId="165" fontId="6" fillId="13" borderId="18" xfId="0" applyNumberFormat="1" applyFont="1" applyFill="1" applyBorder="1" applyAlignment="1" applyProtection="1">
      <alignment horizontal="center" vertical="center"/>
    </xf>
    <xf numFmtId="165" fontId="7" fillId="13" borderId="18" xfId="0" applyNumberFormat="1" applyFont="1" applyFill="1" applyBorder="1" applyAlignment="1" applyProtection="1">
      <alignment horizontal="center" vertical="center" wrapText="1"/>
    </xf>
    <xf numFmtId="165" fontId="8" fillId="13" borderId="18" xfId="0" applyNumberFormat="1" applyFont="1" applyFill="1" applyBorder="1" applyAlignment="1" applyProtection="1">
      <alignment horizontal="center" vertical="center" wrapText="1"/>
    </xf>
    <xf numFmtId="0" fontId="103" fillId="13" borderId="17" xfId="0" applyFont="1" applyFill="1" applyBorder="1" applyAlignment="1" applyProtection="1">
      <alignment horizontal="left" vertical="center" wrapText="1"/>
    </xf>
    <xf numFmtId="0" fontId="103" fillId="14" borderId="17" xfId="0" applyFont="1" applyFill="1" applyBorder="1" applyAlignment="1" applyProtection="1">
      <alignment horizontal="left" vertical="center" wrapText="1"/>
    </xf>
    <xf numFmtId="0" fontId="103" fillId="14" borderId="65" xfId="0" applyFont="1" applyFill="1" applyBorder="1" applyAlignment="1" applyProtection="1">
      <alignment horizontal="left" vertical="center" wrapText="1"/>
    </xf>
    <xf numFmtId="0" fontId="103" fillId="14" borderId="62" xfId="0" applyFont="1" applyFill="1" applyBorder="1" applyAlignment="1" applyProtection="1">
      <alignment horizontal="left" vertical="center" wrapText="1"/>
    </xf>
    <xf numFmtId="165" fontId="7" fillId="14" borderId="18" xfId="0" applyNumberFormat="1" applyFont="1" applyFill="1" applyBorder="1" applyAlignment="1" applyProtection="1">
      <alignment horizontal="center" vertical="center" wrapText="1"/>
    </xf>
    <xf numFmtId="165" fontId="7" fillId="3" borderId="18" xfId="0" applyNumberFormat="1" applyFont="1" applyFill="1" applyBorder="1" applyAlignment="1" applyProtection="1">
      <alignment horizontal="center" vertical="center" wrapText="1"/>
    </xf>
    <xf numFmtId="0" fontId="122" fillId="36" borderId="113" xfId="0" applyFont="1" applyFill="1" applyBorder="1" applyAlignment="1" applyProtection="1">
      <alignment horizontal="center" vertical="center" wrapText="1"/>
    </xf>
    <xf numFmtId="0" fontId="122" fillId="36" borderId="114" xfId="0" applyFont="1" applyFill="1" applyBorder="1" applyAlignment="1" applyProtection="1">
      <alignment horizontal="center" vertical="center" wrapText="1"/>
    </xf>
    <xf numFmtId="0" fontId="122" fillId="36" borderId="115" xfId="0" applyFont="1" applyFill="1" applyBorder="1" applyAlignment="1" applyProtection="1">
      <alignment horizontal="center" vertical="center" wrapText="1"/>
    </xf>
    <xf numFmtId="0" fontId="47" fillId="7" borderId="19" xfId="0" applyFont="1" applyFill="1" applyBorder="1" applyAlignment="1" applyProtection="1">
      <alignment horizontal="center"/>
    </xf>
    <xf numFmtId="0" fontId="47" fillId="7" borderId="108" xfId="0" applyFont="1" applyFill="1" applyBorder="1" applyAlignment="1" applyProtection="1">
      <alignment horizontal="center"/>
    </xf>
    <xf numFmtId="0" fontId="47" fillId="7" borderId="20" xfId="0" applyFont="1" applyFill="1" applyBorder="1" applyAlignment="1" applyProtection="1">
      <alignment horizontal="center"/>
    </xf>
    <xf numFmtId="0" fontId="21" fillId="7" borderId="109" xfId="0" applyFont="1" applyFill="1" applyBorder="1" applyAlignment="1" applyProtection="1">
      <alignment horizontal="center" vertical="center"/>
    </xf>
    <xf numFmtId="0" fontId="21" fillId="7" borderId="110" xfId="0" applyFont="1" applyFill="1" applyBorder="1" applyAlignment="1" applyProtection="1">
      <alignment horizontal="center" vertical="center"/>
    </xf>
    <xf numFmtId="0" fontId="21" fillId="7" borderId="111" xfId="0" applyFont="1" applyFill="1" applyBorder="1" applyAlignment="1" applyProtection="1">
      <alignment horizontal="center" vertical="center"/>
    </xf>
    <xf numFmtId="0" fontId="83" fillId="7" borderId="98" xfId="0" applyFont="1" applyFill="1" applyBorder="1" applyAlignment="1" applyProtection="1">
      <alignment horizontal="center"/>
    </xf>
    <xf numFmtId="0" fontId="83" fillId="7" borderId="51" xfId="0" applyFont="1" applyFill="1" applyBorder="1" applyAlignment="1" applyProtection="1">
      <alignment horizontal="center"/>
    </xf>
    <xf numFmtId="0" fontId="57" fillId="7" borderId="0" xfId="0" applyFont="1" applyFill="1" applyBorder="1" applyAlignment="1" applyProtection="1">
      <alignment horizontal="center"/>
    </xf>
    <xf numFmtId="0" fontId="21" fillId="7" borderId="103" xfId="0" applyFont="1" applyFill="1" applyBorder="1" applyAlignment="1" applyProtection="1">
      <alignment horizontal="center"/>
    </xf>
    <xf numFmtId="0" fontId="21" fillId="7" borderId="104" xfId="0" applyFont="1" applyFill="1" applyBorder="1" applyAlignment="1" applyProtection="1">
      <alignment horizontal="center"/>
    </xf>
    <xf numFmtId="0" fontId="21" fillId="7" borderId="105" xfId="0" applyFont="1" applyFill="1" applyBorder="1" applyAlignment="1" applyProtection="1">
      <alignment horizontal="center"/>
    </xf>
    <xf numFmtId="166" fontId="0" fillId="14" borderId="1" xfId="0" applyNumberFormat="1" applyFill="1" applyBorder="1" applyAlignment="1" applyProtection="1">
      <alignment horizontal="center" vertical="center"/>
    </xf>
    <xf numFmtId="0" fontId="0" fillId="13" borderId="54" xfId="0" applyFill="1" applyBorder="1" applyAlignment="1" applyProtection="1">
      <alignment horizontal="justify" vertical="center"/>
    </xf>
    <xf numFmtId="4" fontId="37" fillId="6" borderId="57" xfId="1" applyNumberFormat="1" applyFont="1" applyBorder="1" applyAlignment="1" applyProtection="1">
      <alignment horizontal="center"/>
      <protection locked="0"/>
    </xf>
    <xf numFmtId="166" fontId="51" fillId="14" borderId="54" xfId="0" applyNumberFormat="1" applyFont="1" applyFill="1" applyBorder="1" applyAlignment="1" applyProtection="1">
      <alignment horizontal="center" vertical="center"/>
    </xf>
    <xf numFmtId="166" fontId="0" fillId="14" borderId="54" xfId="0" applyNumberFormat="1" applyFill="1" applyBorder="1" applyAlignment="1" applyProtection="1">
      <alignment horizontal="center" vertical="center"/>
    </xf>
    <xf numFmtId="0" fontId="21" fillId="7" borderId="1" xfId="0" applyFont="1" applyFill="1" applyBorder="1" applyAlignment="1" applyProtection="1">
      <alignment horizontal="center" vertical="center"/>
    </xf>
    <xf numFmtId="0" fontId="0" fillId="13" borderId="56" xfId="0" applyFill="1" applyBorder="1" applyAlignment="1" applyProtection="1">
      <alignment horizontal="justify" vertical="center"/>
    </xf>
    <xf numFmtId="0" fontId="0" fillId="13" borderId="57" xfId="0" applyFill="1" applyBorder="1" applyAlignment="1" applyProtection="1">
      <alignment horizontal="justify" vertical="center"/>
    </xf>
    <xf numFmtId="0" fontId="0" fillId="14" borderId="21" xfId="0" applyFill="1" applyBorder="1" applyAlignment="1" applyProtection="1">
      <alignment horizontal="justify" vertical="center"/>
    </xf>
    <xf numFmtId="0" fontId="0" fillId="14" borderId="22" xfId="0" applyFill="1" applyBorder="1" applyAlignment="1" applyProtection="1">
      <alignment horizontal="justify" vertical="center"/>
    </xf>
    <xf numFmtId="0" fontId="48" fillId="17" borderId="5" xfId="0" applyFont="1" applyFill="1" applyBorder="1" applyAlignment="1" applyProtection="1">
      <alignment horizontal="left" wrapText="1"/>
    </xf>
    <xf numFmtId="4" fontId="34" fillId="4" borderId="1" xfId="0" applyNumberFormat="1" applyFont="1" applyFill="1" applyBorder="1" applyAlignment="1" applyProtection="1">
      <alignment horizontal="center" vertical="center"/>
      <protection locked="0"/>
    </xf>
    <xf numFmtId="0" fontId="1" fillId="13" borderId="58" xfId="0" applyFont="1" applyFill="1" applyBorder="1" applyAlignment="1" applyProtection="1">
      <alignment horizontal="center" vertical="center" wrapText="1"/>
    </xf>
    <xf numFmtId="0" fontId="1" fillId="13" borderId="56" xfId="0" applyFont="1" applyFill="1" applyBorder="1" applyAlignment="1" applyProtection="1">
      <alignment horizontal="center" vertical="center" wrapText="1"/>
    </xf>
    <xf numFmtId="0" fontId="1" fillId="13" borderId="57" xfId="0" applyFont="1" applyFill="1" applyBorder="1" applyAlignment="1" applyProtection="1">
      <alignment horizontal="center" vertical="center" wrapText="1"/>
    </xf>
    <xf numFmtId="0" fontId="43" fillId="5" borderId="54" xfId="0" applyFont="1" applyFill="1" applyBorder="1" applyAlignment="1" applyProtection="1">
      <alignment horizontal="center" vertical="center" wrapText="1"/>
    </xf>
    <xf numFmtId="0" fontId="48" fillId="17" borderId="96" xfId="0" applyFont="1" applyFill="1" applyBorder="1" applyAlignment="1" applyProtection="1">
      <alignment horizontal="left" wrapText="1"/>
    </xf>
    <xf numFmtId="0" fontId="87" fillId="15" borderId="104" xfId="0" applyFont="1" applyFill="1" applyBorder="1" applyAlignment="1" applyProtection="1">
      <alignment horizontal="left" vertical="top" wrapText="1"/>
    </xf>
    <xf numFmtId="4" fontId="49" fillId="13" borderId="53" xfId="0" applyNumberFormat="1" applyFont="1" applyFill="1" applyBorder="1" applyAlignment="1" applyProtection="1">
      <alignment horizontal="center"/>
    </xf>
    <xf numFmtId="4" fontId="49" fillId="13" borderId="8" xfId="0" applyNumberFormat="1" applyFont="1" applyFill="1" applyBorder="1" applyAlignment="1" applyProtection="1">
      <alignment horizontal="center"/>
    </xf>
    <xf numFmtId="0" fontId="41" fillId="7" borderId="54" xfId="0" applyFont="1" applyFill="1" applyBorder="1" applyAlignment="1" applyProtection="1">
      <alignment horizontal="center"/>
    </xf>
    <xf numFmtId="4" fontId="34" fillId="4" borderId="57" xfId="0" applyNumberFormat="1" applyFont="1" applyFill="1" applyBorder="1" applyAlignment="1" applyProtection="1">
      <alignment horizontal="center" vertical="center"/>
      <protection locked="0"/>
    </xf>
    <xf numFmtId="4" fontId="34" fillId="4" borderId="54" xfId="0" applyNumberFormat="1" applyFont="1" applyFill="1" applyBorder="1" applyAlignment="1" applyProtection="1">
      <alignment horizontal="center" vertical="center"/>
      <protection locked="0"/>
    </xf>
    <xf numFmtId="166" fontId="5" fillId="13" borderId="1" xfId="0" applyNumberFormat="1" applyFont="1" applyFill="1" applyBorder="1" applyAlignment="1" applyProtection="1">
      <alignment horizontal="center" vertical="center"/>
    </xf>
    <xf numFmtId="166" fontId="5" fillId="13" borderId="54" xfId="0" applyNumberFormat="1" applyFont="1" applyFill="1" applyBorder="1" applyAlignment="1" applyProtection="1">
      <alignment horizontal="center" vertical="center"/>
    </xf>
    <xf numFmtId="166" fontId="51" fillId="14" borderId="1" xfId="0" applyNumberFormat="1" applyFont="1" applyFill="1" applyBorder="1" applyAlignment="1" applyProtection="1">
      <alignment horizontal="center" vertical="center"/>
    </xf>
    <xf numFmtId="166" fontId="51" fillId="13" borderId="1" xfId="0" applyNumberFormat="1" applyFont="1" applyFill="1" applyBorder="1" applyAlignment="1" applyProtection="1">
      <alignment horizontal="center" vertical="center"/>
    </xf>
    <xf numFmtId="166" fontId="51" fillId="13" borderId="54" xfId="0" applyNumberFormat="1" applyFont="1" applyFill="1" applyBorder="1" applyAlignment="1" applyProtection="1">
      <alignment horizontal="center" vertical="center"/>
    </xf>
    <xf numFmtId="0" fontId="10" fillId="7" borderId="18" xfId="0" applyFont="1" applyFill="1" applyBorder="1" applyAlignment="1" applyProtection="1">
      <alignment horizontal="center"/>
    </xf>
    <xf numFmtId="0" fontId="13" fillId="0" borderId="53"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33" fillId="7" borderId="0" xfId="0" applyFont="1" applyFill="1" applyAlignment="1" applyProtection="1">
      <alignment horizontal="left"/>
    </xf>
    <xf numFmtId="0" fontId="12" fillId="2" borderId="54" xfId="0" applyFont="1" applyFill="1" applyBorder="1" applyAlignment="1" applyProtection="1">
      <alignment horizontal="left" vertical="center" wrapText="1"/>
    </xf>
    <xf numFmtId="0" fontId="0" fillId="0" borderId="54" xfId="0" applyBorder="1" applyAlignment="1" applyProtection="1">
      <alignment horizontal="left"/>
    </xf>
    <xf numFmtId="0" fontId="18" fillId="8" borderId="54" xfId="0" applyFont="1" applyFill="1" applyBorder="1" applyAlignment="1" applyProtection="1">
      <alignment horizontal="left"/>
    </xf>
    <xf numFmtId="0" fontId="15" fillId="8" borderId="54" xfId="0" applyFont="1" applyFill="1" applyBorder="1" applyAlignment="1" applyProtection="1">
      <alignment horizontal="left" vertical="center"/>
    </xf>
    <xf numFmtId="0" fontId="13" fillId="0" borderId="54" xfId="0" applyFont="1" applyBorder="1" applyAlignment="1" applyProtection="1">
      <alignment horizontal="left" vertical="center"/>
    </xf>
    <xf numFmtId="0" fontId="0" fillId="0" borderId="53" xfId="0" applyBorder="1" applyAlignment="1" applyProtection="1">
      <alignment horizontal="left"/>
    </xf>
    <xf numFmtId="0" fontId="0" fillId="0" borderId="8" xfId="0" applyBorder="1" applyAlignment="1" applyProtection="1">
      <alignment horizontal="left"/>
    </xf>
    <xf numFmtId="0" fontId="57" fillId="7" borderId="54" xfId="0" applyFont="1" applyFill="1" applyBorder="1" applyAlignment="1" applyProtection="1">
      <alignment horizontal="center" vertical="center"/>
    </xf>
    <xf numFmtId="0" fontId="17" fillId="11" borderId="54" xfId="0" applyFont="1" applyFill="1" applyBorder="1" applyAlignment="1" applyProtection="1">
      <alignment horizontal="center" vertical="center"/>
    </xf>
    <xf numFmtId="0" fontId="17" fillId="11" borderId="54" xfId="0" applyFont="1" applyFill="1" applyBorder="1" applyAlignment="1" applyProtection="1">
      <alignment horizontal="center" vertical="center" wrapText="1"/>
    </xf>
    <xf numFmtId="0" fontId="122" fillId="11" borderId="54" xfId="0" applyFont="1" applyFill="1" applyBorder="1" applyAlignment="1" applyProtection="1">
      <alignment horizontal="center"/>
    </xf>
    <xf numFmtId="0" fontId="122" fillId="11" borderId="53" xfId="0" applyFont="1" applyFill="1" applyBorder="1" applyAlignment="1" applyProtection="1">
      <alignment horizontal="center" vertical="top" wrapText="1"/>
    </xf>
    <xf numFmtId="0" fontId="122" fillId="11" borderId="7" xfId="0" applyFont="1" applyFill="1" applyBorder="1" applyAlignment="1" applyProtection="1">
      <alignment horizontal="center" vertical="top"/>
    </xf>
    <xf numFmtId="0" fontId="122" fillId="11" borderId="8" xfId="0" applyFont="1" applyFill="1" applyBorder="1" applyAlignment="1" applyProtection="1">
      <alignment horizontal="center" vertical="top"/>
    </xf>
    <xf numFmtId="0" fontId="18" fillId="11" borderId="54" xfId="0" applyFont="1" applyFill="1" applyBorder="1" applyAlignment="1" applyProtection="1">
      <alignment horizontal="center" vertical="center"/>
    </xf>
    <xf numFmtId="0" fontId="13" fillId="0" borderId="54" xfId="0" applyFont="1" applyBorder="1" applyAlignment="1" applyProtection="1">
      <alignment horizontal="left" vertical="center" wrapText="1"/>
    </xf>
    <xf numFmtId="0" fontId="16" fillId="11" borderId="82" xfId="0" applyFont="1" applyFill="1" applyBorder="1" applyAlignment="1" applyProtection="1">
      <alignment horizontal="center" vertical="center"/>
    </xf>
    <xf numFmtId="0" fontId="16" fillId="11" borderId="83" xfId="0" applyFont="1" applyFill="1" applyBorder="1" applyAlignment="1" applyProtection="1">
      <alignment horizontal="center" vertical="center"/>
    </xf>
    <xf numFmtId="0" fontId="16" fillId="11" borderId="55" xfId="0" applyFont="1" applyFill="1" applyBorder="1" applyAlignment="1" applyProtection="1">
      <alignment horizontal="center" vertical="center"/>
    </xf>
    <xf numFmtId="0" fontId="16" fillId="11" borderId="84" xfId="0" applyFont="1" applyFill="1" applyBorder="1" applyAlignment="1" applyProtection="1">
      <alignment horizontal="center" vertical="center"/>
    </xf>
    <xf numFmtId="0" fontId="16" fillId="11" borderId="85" xfId="0" applyFont="1" applyFill="1" applyBorder="1" applyAlignment="1" applyProtection="1">
      <alignment horizontal="center" vertical="center"/>
    </xf>
    <xf numFmtId="0" fontId="16" fillId="11" borderId="86" xfId="0" applyFont="1" applyFill="1" applyBorder="1" applyAlignment="1" applyProtection="1">
      <alignment horizontal="center" vertical="center"/>
    </xf>
    <xf numFmtId="0" fontId="0" fillId="5" borderId="54" xfId="0" applyFill="1" applyBorder="1" applyAlignment="1" applyProtection="1">
      <alignment horizontal="left"/>
    </xf>
    <xf numFmtId="0" fontId="16" fillId="11" borderId="54" xfId="0" applyFont="1" applyFill="1" applyBorder="1" applyAlignment="1" applyProtection="1">
      <alignment horizontal="left" vertical="center"/>
    </xf>
    <xf numFmtId="0" fontId="15" fillId="8" borderId="54" xfId="0" applyFont="1" applyFill="1" applyBorder="1" applyAlignment="1" applyProtection="1">
      <alignment horizontal="left"/>
    </xf>
    <xf numFmtId="0" fontId="47" fillId="2" borderId="54" xfId="0" applyFont="1" applyFill="1" applyBorder="1" applyAlignment="1" applyProtection="1">
      <alignment horizontal="left"/>
    </xf>
    <xf numFmtId="4" fontId="59" fillId="0" borderId="58" xfId="0" applyNumberFormat="1" applyFont="1" applyBorder="1" applyAlignment="1" applyProtection="1">
      <alignment horizontal="right" vertical="center"/>
    </xf>
    <xf numFmtId="4" fontId="59" fillId="0" borderId="57" xfId="0" applyNumberFormat="1" applyFont="1" applyBorder="1" applyAlignment="1" applyProtection="1">
      <alignment horizontal="right" vertical="center"/>
    </xf>
    <xf numFmtId="4" fontId="59" fillId="0" borderId="3" xfId="0" applyNumberFormat="1" applyFont="1" applyBorder="1" applyAlignment="1" applyProtection="1">
      <alignment horizontal="right" vertical="center"/>
    </xf>
    <xf numFmtId="4" fontId="59" fillId="0" borderId="4" xfId="0" applyNumberFormat="1" applyFont="1" applyBorder="1" applyAlignment="1" applyProtection="1">
      <alignment horizontal="right" vertical="center"/>
    </xf>
    <xf numFmtId="4" fontId="59" fillId="0" borderId="3" xfId="0" applyNumberFormat="1" applyFont="1" applyBorder="1" applyAlignment="1" applyProtection="1">
      <alignment horizontal="right"/>
    </xf>
    <xf numFmtId="4" fontId="59" fillId="0" borderId="4" xfId="0" applyNumberFormat="1" applyFont="1" applyBorder="1" applyAlignment="1" applyProtection="1">
      <alignment horizontal="right"/>
    </xf>
  </cellXfs>
  <cellStyles count="539">
    <cellStyle name="Comma 2" xfId="537"/>
    <cellStyle name="Hyperlink 2" xfId="31"/>
    <cellStyle name="Lien hypertexte" xfId="3" builtinId="8" hidden="1"/>
    <cellStyle name="Lien hypertexte" xfId="5" builtinId="8" hidden="1"/>
    <cellStyle name="Lien hypertexte" xfId="7" builtinId="8" hidden="1"/>
    <cellStyle name="Lien hypertexte" xfId="15" builtinId="8" hidden="1"/>
    <cellStyle name="Lien hypertexte" xfId="17" builtinId="8" hidden="1"/>
    <cellStyle name="Lien hypertexte" xfId="19" builtinId="8" hidden="1"/>
    <cellStyle name="Lien hypertexte" xfId="28" builtinId="8" hidden="1"/>
    <cellStyle name="Lien hypertexte" xfId="36" builtinId="8" hidden="1"/>
    <cellStyle name="Lien hypertexte" xfId="38" builtinId="8" hidden="1"/>
    <cellStyle name="Lien hypertexte" xfId="46" builtinId="8" hidden="1"/>
    <cellStyle name="Lien hypertexte" xfId="48" builtinId="8" hidden="1"/>
    <cellStyle name="Lien hypertexte" xfId="50" builtinId="8" hidden="1"/>
    <cellStyle name="Lien hypertexte" xfId="59" builtinId="8" hidden="1"/>
    <cellStyle name="Lien hypertexte" xfId="67" builtinId="8" hidden="1"/>
    <cellStyle name="Lien hypertexte" xfId="69" builtinId="8" hidden="1"/>
    <cellStyle name="Lien hypertexte" xfId="76" builtinId="8" hidden="1"/>
    <cellStyle name="Lien hypertexte" xfId="78" builtinId="8" hidden="1"/>
    <cellStyle name="Lien hypertexte" xfId="80" builtinId="8" hidden="1"/>
    <cellStyle name="Lien hypertexte" xfId="89" builtinId="8" hidden="1"/>
    <cellStyle name="Lien hypertexte" xfId="65" builtinId="8" hidden="1"/>
    <cellStyle name="Lien hypertexte" xfId="66" builtinId="8" hidden="1"/>
    <cellStyle name="Lien hypertexte" xfId="96" builtinId="8" hidden="1"/>
    <cellStyle name="Lien hypertexte" xfId="98" builtinId="8" hidden="1"/>
    <cellStyle name="Lien hypertexte" xfId="100" builtinId="8" hidden="1"/>
    <cellStyle name="Lien hypertexte" xfId="60" builtinId="8" hidden="1"/>
    <cellStyle name="Lien hypertexte" xfId="33" builtinId="8" hidden="1"/>
    <cellStyle name="Lien hypertexte" xfId="34" builtinId="8" hidden="1"/>
    <cellStyle name="Lien hypertexte" xfId="113" builtinId="8" hidden="1"/>
    <cellStyle name="Lien hypertexte" xfId="115" builtinId="8" hidden="1"/>
    <cellStyle name="Lien hypertexte" xfId="117" builtinId="8" hidden="1"/>
    <cellStyle name="Lien hypertexte" xfId="126" builtinId="8" hidden="1"/>
    <cellStyle name="Lien hypertexte" xfId="133" builtinId="8" hidden="1"/>
    <cellStyle name="Lien hypertexte" xfId="135" builtinId="8" hidden="1"/>
    <cellStyle name="Lien hypertexte" xfId="142" builtinId="8" hidden="1"/>
    <cellStyle name="Lien hypertexte" xfId="144" builtinId="8" hidden="1"/>
    <cellStyle name="Lien hypertexte" xfId="146" builtinId="8" hidden="1"/>
    <cellStyle name="Lien hypertexte" xfId="155" builtinId="8" hidden="1"/>
    <cellStyle name="Lien hypertexte" xfId="131" builtinId="8" hidden="1"/>
    <cellStyle name="Lien hypertexte" xfId="132" builtinId="8" hidden="1"/>
    <cellStyle name="Lien hypertexte" xfId="162" builtinId="8" hidden="1"/>
    <cellStyle name="Lien hypertexte" xfId="164" builtinId="8" hidden="1"/>
    <cellStyle name="Lien hypertexte" xfId="166" builtinId="8" hidden="1"/>
    <cellStyle name="Lien hypertexte" xfId="127" builtinId="8" hidden="1"/>
    <cellStyle name="Lien hypertexte" xfId="61" builtinId="8" hidden="1"/>
    <cellStyle name="Lien hypertexte" xfId="125" builtinId="8" hidden="1"/>
    <cellStyle name="Lien hypertexte" xfId="180" builtinId="8" hidden="1"/>
    <cellStyle name="Lien hypertexte" xfId="182" builtinId="8" hidden="1"/>
    <cellStyle name="Lien hypertexte" xfId="184" builtinId="8" hidden="1"/>
    <cellStyle name="Lien hypertexte" xfId="193" builtinId="8" hidden="1"/>
    <cellStyle name="Lien hypertexte" xfId="199" builtinId="8" hidden="1"/>
    <cellStyle name="Lien hypertexte" xfId="201" builtinId="8" hidden="1"/>
    <cellStyle name="Lien hypertexte" xfId="208" builtinId="8" hidden="1"/>
    <cellStyle name="Lien hypertexte" xfId="210" builtinId="8" hidden="1"/>
    <cellStyle name="Lien hypertexte" xfId="212" builtinId="8" hidden="1"/>
    <cellStyle name="Lien hypertexte" xfId="221" builtinId="8" hidden="1"/>
    <cellStyle name="Lien hypertexte" xfId="197" builtinId="8" hidden="1"/>
    <cellStyle name="Lien hypertexte" xfId="198" builtinId="8" hidden="1"/>
    <cellStyle name="Lien hypertexte" xfId="228" builtinId="8" hidden="1"/>
    <cellStyle name="Lien hypertexte" xfId="230" builtinId="8" hidden="1"/>
    <cellStyle name="Lien hypertexte" xfId="232" builtinId="8" hidden="1"/>
    <cellStyle name="Lien hypertexte" xfId="194" builtinId="8" hidden="1"/>
    <cellStyle name="Lien hypertexte" xfId="240" builtinId="8" hidden="1"/>
    <cellStyle name="Lien hypertexte" xfId="242" builtinId="8" hidden="1"/>
    <cellStyle name="Lien hypertexte" xfId="249" builtinId="8" hidden="1"/>
    <cellStyle name="Lien hypertexte" xfId="251" builtinId="8" hidden="1"/>
    <cellStyle name="Lien hypertexte" xfId="253" builtinId="8" hidden="1"/>
    <cellStyle name="Lien hypertexte" xfId="261" builtinId="8" hidden="1"/>
    <cellStyle name="Lien hypertexte" xfId="266" builtinId="8" hidden="1"/>
    <cellStyle name="Lien hypertexte" xfId="268" builtinId="8" hidden="1"/>
    <cellStyle name="Lien hypertexte" xfId="275" builtinId="8" hidden="1"/>
    <cellStyle name="Lien hypertexte" xfId="277" builtinId="8" hidden="1"/>
    <cellStyle name="Lien hypertexte" xfId="279" builtinId="8" hidden="1"/>
    <cellStyle name="Lien hypertexte" xfId="288" builtinId="8" hidden="1"/>
    <cellStyle name="Lien hypertexte" xfId="264" builtinId="8" hidden="1"/>
    <cellStyle name="Lien hypertexte" xfId="265" builtinId="8" hidden="1"/>
    <cellStyle name="Lien hypertexte" xfId="295" builtinId="8" hidden="1"/>
    <cellStyle name="Lien hypertexte" xfId="297" builtinId="8" hidden="1"/>
    <cellStyle name="Lien hypertexte" xfId="299" builtinId="8" hidden="1"/>
    <cellStyle name="Lien hypertexte" xfId="307" builtinId="8" hidden="1"/>
    <cellStyle name="Lien hypertexte" xfId="309" builtinId="8" hidden="1"/>
    <cellStyle name="Lien hypertexte" xfId="311" builtinId="8" hidden="1"/>
    <cellStyle name="Lien hypertexte" xfId="318" builtinId="8" hidden="1"/>
    <cellStyle name="Lien hypertexte" xfId="320" builtinId="8" hidden="1"/>
    <cellStyle name="Lien hypertexte" xfId="322" builtinId="8" hidden="1"/>
    <cellStyle name="Lien hypertexte" xfId="330" builtinId="8" hidden="1"/>
    <cellStyle name="Lien hypertexte" xfId="335" builtinId="8" hidden="1"/>
    <cellStyle name="Lien hypertexte" xfId="337" builtinId="8" hidden="1"/>
    <cellStyle name="Lien hypertexte" xfId="345" builtinId="8" hidden="1"/>
    <cellStyle name="Lien hypertexte" xfId="347" builtinId="8" hidden="1"/>
    <cellStyle name="Lien hypertexte" xfId="349" builtinId="8" hidden="1"/>
    <cellStyle name="Lien hypertexte" xfId="358" builtinId="8" hidden="1"/>
    <cellStyle name="Lien hypertexte" xfId="366" builtinId="8" hidden="1"/>
    <cellStyle name="Lien hypertexte" xfId="368" builtinId="8" hidden="1"/>
    <cellStyle name="Lien hypertexte" xfId="375" builtinId="8" hidden="1"/>
    <cellStyle name="Lien hypertexte" xfId="377" builtinId="8" hidden="1"/>
    <cellStyle name="Lien hypertexte" xfId="379" builtinId="8" hidden="1"/>
    <cellStyle name="Lien hypertexte" xfId="388" builtinId="8" hidden="1"/>
    <cellStyle name="Lien hypertexte" xfId="364" builtinId="8" hidden="1"/>
    <cellStyle name="Lien hypertexte" xfId="365" builtinId="8" hidden="1"/>
    <cellStyle name="Lien hypertexte" xfId="395" builtinId="8" hidden="1"/>
    <cellStyle name="Lien hypertexte" xfId="397" builtinId="8" hidden="1"/>
    <cellStyle name="Lien hypertexte" xfId="399" builtinId="8" hidden="1"/>
    <cellStyle name="Lien hypertexte" xfId="359" builtinId="8" hidden="1"/>
    <cellStyle name="Lien hypertexte" xfId="332" builtinId="8" hidden="1"/>
    <cellStyle name="Lien hypertexte" xfId="333" builtinId="8" hidden="1"/>
    <cellStyle name="Lien hypertexte" xfId="412" builtinId="8" hidden="1"/>
    <cellStyle name="Lien hypertexte" xfId="414" builtinId="8" hidden="1"/>
    <cellStyle name="Lien hypertexte" xfId="416" builtinId="8" hidden="1"/>
    <cellStyle name="Lien hypertexte" xfId="425" builtinId="8" hidden="1"/>
    <cellStyle name="Lien hypertexte" xfId="432" builtinId="8" hidden="1"/>
    <cellStyle name="Lien hypertexte" xfId="434" builtinId="8" hidden="1"/>
    <cellStyle name="Lien hypertexte" xfId="441" builtinId="8" hidden="1"/>
    <cellStyle name="Lien hypertexte" xfId="443" builtinId="8" hidden="1"/>
    <cellStyle name="Lien hypertexte" xfId="445" builtinId="8" hidden="1"/>
    <cellStyle name="Lien hypertexte" xfId="454" builtinId="8" hidden="1"/>
    <cellStyle name="Lien hypertexte" xfId="430" builtinId="8" hidden="1"/>
    <cellStyle name="Lien hypertexte" xfId="431" builtinId="8" hidden="1"/>
    <cellStyle name="Lien hypertexte" xfId="461" builtinId="8" hidden="1"/>
    <cellStyle name="Lien hypertexte" xfId="463" builtinId="8" hidden="1"/>
    <cellStyle name="Lien hypertexte" xfId="465" builtinId="8" hidden="1"/>
    <cellStyle name="Lien hypertexte" xfId="426" builtinId="8" hidden="1"/>
    <cellStyle name="Lien hypertexte" xfId="360" builtinId="8" hidden="1"/>
    <cellStyle name="Lien hypertexte" xfId="424" builtinId="8" hidden="1"/>
    <cellStyle name="Lien hypertexte" xfId="479" builtinId="8" hidden="1"/>
    <cellStyle name="Lien hypertexte" xfId="481" builtinId="8" hidden="1"/>
    <cellStyle name="Lien hypertexte" xfId="483" builtinId="8" hidden="1"/>
    <cellStyle name="Lien hypertexte" xfId="491" builtinId="8" hidden="1"/>
    <cellStyle name="Lien hypertexte" xfId="496" builtinId="8" hidden="1"/>
    <cellStyle name="Lien hypertexte" xfId="498" builtinId="8" hidden="1"/>
    <cellStyle name="Lien hypertexte" xfId="505" builtinId="8" hidden="1"/>
    <cellStyle name="Lien hypertexte" xfId="507" builtinId="8" hidden="1"/>
    <cellStyle name="Lien hypertexte" xfId="509" builtinId="8" hidden="1"/>
    <cellStyle name="Lien hypertexte" xfId="518" builtinId="8" hidden="1"/>
    <cellStyle name="Lien hypertexte" xfId="494" builtinId="8" hidden="1"/>
    <cellStyle name="Lien hypertexte" xfId="495" builtinId="8" hidden="1"/>
    <cellStyle name="Lien hypertexte" xfId="525" builtinId="8" hidden="1"/>
    <cellStyle name="Lien hypertexte" xfId="527" builtinId="8" hidden="1"/>
    <cellStyle name="Lien hypertexte" xfId="529" builtinId="8" hidden="1"/>
    <cellStyle name="Lien hypertexte" xfId="538" builtinId="8"/>
    <cellStyle name="Lien hypertexte visité" xfId="4" builtinId="9" hidden="1"/>
    <cellStyle name="Lien hypertexte visité" xfId="6"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6" builtinId="9" hidden="1"/>
    <cellStyle name="Lien hypertexte visité" xfId="18"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35" builtinId="9" hidden="1"/>
    <cellStyle name="Lien hypertexte visité" xfId="37"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7" builtinId="9" hidden="1"/>
    <cellStyle name="Lien hypertexte visité" xfId="49"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63" builtinId="9" hidden="1"/>
    <cellStyle name="Lien hypertexte visité" xfId="68"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64" builtinId="9" hidden="1"/>
    <cellStyle name="Lien hypertexte visité" xfId="90" builtinId="9" hidden="1"/>
    <cellStyle name="Lien hypertexte visité" xfId="88"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32" builtinId="9" hidden="1"/>
    <cellStyle name="Lien hypertexte visité" xfId="62" builtinId="9" hidden="1"/>
    <cellStyle name="Lien hypertexte visité" xfId="58"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19" builtinId="9" hidden="1"/>
    <cellStyle name="Lien hypertexte visité" xfId="120" builtinId="9" hidden="1"/>
    <cellStyle name="Lien hypertexte visité" xfId="121" builtinId="9" hidden="1"/>
    <cellStyle name="Lien hypertexte visité" xfId="122" builtinId="9" hidden="1"/>
    <cellStyle name="Lien hypertexte visité" xfId="123" builtinId="9" hidden="1"/>
    <cellStyle name="Lien hypertexte visité" xfId="124" builtinId="9" hidden="1"/>
    <cellStyle name="Lien hypertexte visité" xfId="129" builtinId="9" hidden="1"/>
    <cellStyle name="Lien hypertexte visité" xfId="134"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30" builtinId="9" hidden="1"/>
    <cellStyle name="Lien hypertexte visité" xfId="156" builtinId="9" hidden="1"/>
    <cellStyle name="Lien hypertexte visité" xfId="154"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3" builtinId="9" hidden="1"/>
    <cellStyle name="Lien hypertexte visité" xfId="165"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45" builtinId="9" hidden="1"/>
    <cellStyle name="Lien hypertexte visité" xfId="128"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1" builtinId="9" hidden="1"/>
    <cellStyle name="Lien hypertexte visité" xfId="183"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5" builtinId="9" hidden="1"/>
    <cellStyle name="Lien hypertexte visité" xfId="200"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9" builtinId="9" hidden="1"/>
    <cellStyle name="Lien hypertexte visité" xfId="211"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196" builtinId="9" hidden="1"/>
    <cellStyle name="Lien hypertexte visité" xfId="222" builtinId="9" hidden="1"/>
    <cellStyle name="Lien hypertexte visité" xfId="220"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9" builtinId="9" hidden="1"/>
    <cellStyle name="Lien hypertexte visité" xfId="231"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192" builtinId="9" hidden="1"/>
    <cellStyle name="Lien hypertexte visité" xfId="241" builtinId="9" hidden="1"/>
    <cellStyle name="Lien hypertexte visité" xfId="243" builtinId="9" hidden="1"/>
    <cellStyle name="Lien hypertexte visité" xfId="244" builtinId="9" hidden="1"/>
    <cellStyle name="Lien hypertexte visité" xfId="245" builtinId="9" hidden="1"/>
    <cellStyle name="Lien hypertexte visité" xfId="246" builtinId="9" hidden="1"/>
    <cellStyle name="Lien hypertexte visité" xfId="247"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2" builtinId="9" hidden="1"/>
    <cellStyle name="Lien hypertexte visité" xfId="267"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63" builtinId="9" hidden="1"/>
    <cellStyle name="Lien hypertexte visité" xfId="289" builtinId="9" hidden="1"/>
    <cellStyle name="Lien hypertexte visité" xfId="287"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1" builtinId="9" hidden="1"/>
    <cellStyle name="Lien hypertexte visité" xfId="302" builtinId="9" hidden="1"/>
    <cellStyle name="Lien hypertexte visité" xfId="303" builtinId="9" hidden="1"/>
    <cellStyle name="Lien hypertexte visité" xfId="304" builtinId="9" hidden="1"/>
    <cellStyle name="Lien hypertexte visité" xfId="305"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3" builtinId="9" hidden="1"/>
    <cellStyle name="Lien hypertexte visité" xfId="314" builtinId="9" hidden="1"/>
    <cellStyle name="Lien hypertexte visité" xfId="315" builtinId="9" hidden="1"/>
    <cellStyle name="Lien hypertexte visité" xfId="316" builtinId="9" hidden="1"/>
    <cellStyle name="Lien hypertexte visité" xfId="317" builtinId="9" hidden="1"/>
    <cellStyle name="Lien hypertexte visité" xfId="319" builtinId="9" hidden="1"/>
    <cellStyle name="Lien hypertexte visité" xfId="321" builtinId="9" hidden="1"/>
    <cellStyle name="Lien hypertexte visité" xfId="323" builtinId="9" hidden="1"/>
    <cellStyle name="Lien hypertexte visité" xfId="324" builtinId="9" hidden="1"/>
    <cellStyle name="Lien hypertexte visité" xfId="325" builtinId="9" hidden="1"/>
    <cellStyle name="Lien hypertexte visité" xfId="326" builtinId="9" hidden="1"/>
    <cellStyle name="Lien hypertexte visité" xfId="327" builtinId="9" hidden="1"/>
    <cellStyle name="Lien hypertexte visité" xfId="328" builtinId="9" hidden="1"/>
    <cellStyle name="Lien hypertexte visité" xfId="329" builtinId="9" hidden="1"/>
    <cellStyle name="Lien hypertexte visité" xfId="334" builtinId="9" hidden="1"/>
    <cellStyle name="Lien hypertexte visité" xfId="336" builtinId="9" hidden="1"/>
    <cellStyle name="Lien hypertexte visité" xfId="338" builtinId="9" hidden="1"/>
    <cellStyle name="Lien hypertexte visité" xfId="339" builtinId="9" hidden="1"/>
    <cellStyle name="Lien hypertexte visité" xfId="340" builtinId="9" hidden="1"/>
    <cellStyle name="Lien hypertexte visité" xfId="341" builtinId="9" hidden="1"/>
    <cellStyle name="Lien hypertexte visité" xfId="342" builtinId="9" hidden="1"/>
    <cellStyle name="Lien hypertexte visité" xfId="343" builtinId="9" hidden="1"/>
    <cellStyle name="Lien hypertexte visité" xfId="346" builtinId="9" hidden="1"/>
    <cellStyle name="Lien hypertexte visité" xfId="348" builtinId="9" hidden="1"/>
    <cellStyle name="Lien hypertexte visité" xfId="350" builtinId="9" hidden="1"/>
    <cellStyle name="Lien hypertexte visité" xfId="351" builtinId="9" hidden="1"/>
    <cellStyle name="Lien hypertexte visité" xfId="352" builtinId="9" hidden="1"/>
    <cellStyle name="Lien hypertexte visité" xfId="353" builtinId="9" hidden="1"/>
    <cellStyle name="Lien hypertexte visité" xfId="354" builtinId="9" hidden="1"/>
    <cellStyle name="Lien hypertexte visité" xfId="355" builtinId="9" hidden="1"/>
    <cellStyle name="Lien hypertexte visité" xfId="356" builtinId="9" hidden="1"/>
    <cellStyle name="Lien hypertexte visité" xfId="362" builtinId="9" hidden="1"/>
    <cellStyle name="Lien hypertexte visité" xfId="367" builtinId="9" hidden="1"/>
    <cellStyle name="Lien hypertexte visité" xfId="369" builtinId="9" hidden="1"/>
    <cellStyle name="Lien hypertexte visité" xfId="370" builtinId="9" hidden="1"/>
    <cellStyle name="Lien hypertexte visité" xfId="371" builtinId="9" hidden="1"/>
    <cellStyle name="Lien hypertexte visité" xfId="372" builtinId="9" hidden="1"/>
    <cellStyle name="Lien hypertexte visité" xfId="373"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1" builtinId="9" hidden="1"/>
    <cellStyle name="Lien hypertexte visité" xfId="382" builtinId="9" hidden="1"/>
    <cellStyle name="Lien hypertexte visité" xfId="383" builtinId="9" hidden="1"/>
    <cellStyle name="Lien hypertexte visité" xfId="384" builtinId="9" hidden="1"/>
    <cellStyle name="Lien hypertexte visité" xfId="385" builtinId="9" hidden="1"/>
    <cellStyle name="Lien hypertexte visité" xfId="386" builtinId="9" hidden="1"/>
    <cellStyle name="Lien hypertexte visité" xfId="363" builtinId="9" hidden="1"/>
    <cellStyle name="Lien hypertexte visité" xfId="389" builtinId="9" hidden="1"/>
    <cellStyle name="Lien hypertexte visité" xfId="387" builtinId="9" hidden="1"/>
    <cellStyle name="Lien hypertexte visité" xfId="390" builtinId="9" hidden="1"/>
    <cellStyle name="Lien hypertexte visité" xfId="391" builtinId="9" hidden="1"/>
    <cellStyle name="Lien hypertexte visité" xfId="392" builtinId="9" hidden="1"/>
    <cellStyle name="Lien hypertexte visité" xfId="393"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1" builtinId="9" hidden="1"/>
    <cellStyle name="Lien hypertexte visité" xfId="402" builtinId="9" hidden="1"/>
    <cellStyle name="Lien hypertexte visité" xfId="403" builtinId="9" hidden="1"/>
    <cellStyle name="Lien hypertexte visité" xfId="404" builtinId="9" hidden="1"/>
    <cellStyle name="Lien hypertexte visité" xfId="405" builtinId="9" hidden="1"/>
    <cellStyle name="Lien hypertexte visité" xfId="406" builtinId="9" hidden="1"/>
    <cellStyle name="Lien hypertexte visité" xfId="331" builtinId="9" hidden="1"/>
    <cellStyle name="Lien hypertexte visité" xfId="361" builtinId="9" hidden="1"/>
    <cellStyle name="Lien hypertexte visité" xfId="357" builtinId="9" hidden="1"/>
    <cellStyle name="Lien hypertexte visité" xfId="407" builtinId="9" hidden="1"/>
    <cellStyle name="Lien hypertexte visité" xfId="408" builtinId="9" hidden="1"/>
    <cellStyle name="Lien hypertexte visité" xfId="409" builtinId="9" hidden="1"/>
    <cellStyle name="Lien hypertexte visité" xfId="410" builtinId="9" hidden="1"/>
    <cellStyle name="Lien hypertexte visité" xfId="411" builtinId="9" hidden="1"/>
    <cellStyle name="Lien hypertexte visité" xfId="413" builtinId="9" hidden="1"/>
    <cellStyle name="Lien hypertexte visité" xfId="415" builtinId="9" hidden="1"/>
    <cellStyle name="Lien hypertexte visité" xfId="417" builtinId="9" hidden="1"/>
    <cellStyle name="Lien hypertexte visité" xfId="418" builtinId="9" hidden="1"/>
    <cellStyle name="Lien hypertexte visité" xfId="419" builtinId="9" hidden="1"/>
    <cellStyle name="Lien hypertexte visité" xfId="420" builtinId="9" hidden="1"/>
    <cellStyle name="Lien hypertexte visité" xfId="421" builtinId="9" hidden="1"/>
    <cellStyle name="Lien hypertexte visité" xfId="422" builtinId="9" hidden="1"/>
    <cellStyle name="Lien hypertexte visité" xfId="423" builtinId="9" hidden="1"/>
    <cellStyle name="Lien hypertexte visité" xfId="428" builtinId="9" hidden="1"/>
    <cellStyle name="Lien hypertexte visité" xfId="433" builtinId="9" hidden="1"/>
    <cellStyle name="Lien hypertexte visité" xfId="435" builtinId="9" hidden="1"/>
    <cellStyle name="Lien hypertexte visité" xfId="436" builtinId="9" hidden="1"/>
    <cellStyle name="Lien hypertexte visité" xfId="437" builtinId="9" hidden="1"/>
    <cellStyle name="Lien hypertexte visité" xfId="438" builtinId="9" hidden="1"/>
    <cellStyle name="Lien hypertexte visité" xfId="439"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7" builtinId="9" hidden="1"/>
    <cellStyle name="Lien hypertexte visité" xfId="448" builtinId="9" hidden="1"/>
    <cellStyle name="Lien hypertexte visité" xfId="449" builtinId="9" hidden="1"/>
    <cellStyle name="Lien hypertexte visité" xfId="450" builtinId="9" hidden="1"/>
    <cellStyle name="Lien hypertexte visité" xfId="451" builtinId="9" hidden="1"/>
    <cellStyle name="Lien hypertexte visité" xfId="452" builtinId="9" hidden="1"/>
    <cellStyle name="Lien hypertexte visité" xfId="429" builtinId="9" hidden="1"/>
    <cellStyle name="Lien hypertexte visité" xfId="455" builtinId="9" hidden="1"/>
    <cellStyle name="Lien hypertexte visité" xfId="453" builtinId="9" hidden="1"/>
    <cellStyle name="Lien hypertexte visité" xfId="456" builtinId="9" hidden="1"/>
    <cellStyle name="Lien hypertexte visité" xfId="457" builtinId="9" hidden="1"/>
    <cellStyle name="Lien hypertexte visité" xfId="458" builtinId="9" hidden="1"/>
    <cellStyle name="Lien hypertexte visité" xfId="459"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7" builtinId="9" hidden="1"/>
    <cellStyle name="Lien hypertexte visité" xfId="468" builtinId="9" hidden="1"/>
    <cellStyle name="Lien hypertexte visité" xfId="469" builtinId="9" hidden="1"/>
    <cellStyle name="Lien hypertexte visité" xfId="470" builtinId="9" hidden="1"/>
    <cellStyle name="Lien hypertexte visité" xfId="471" builtinId="9" hidden="1"/>
    <cellStyle name="Lien hypertexte visité" xfId="472" builtinId="9" hidden="1"/>
    <cellStyle name="Lien hypertexte visité" xfId="344" builtinId="9" hidden="1"/>
    <cellStyle name="Lien hypertexte visité" xfId="427" builtinId="9" hidden="1"/>
    <cellStyle name="Lien hypertexte visité" xfId="473" builtinId="9" hidden="1"/>
    <cellStyle name="Lien hypertexte visité" xfId="474" builtinId="9" hidden="1"/>
    <cellStyle name="Lien hypertexte visité" xfId="475" builtinId="9" hidden="1"/>
    <cellStyle name="Lien hypertexte visité" xfId="476" builtinId="9" hidden="1"/>
    <cellStyle name="Lien hypertexte visité" xfId="477"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5" builtinId="9" hidden="1"/>
    <cellStyle name="Lien hypertexte visité" xfId="486" builtinId="9" hidden="1"/>
    <cellStyle name="Lien hypertexte visité" xfId="487" builtinId="9" hidden="1"/>
    <cellStyle name="Lien hypertexte visité" xfId="488" builtinId="9" hidden="1"/>
    <cellStyle name="Lien hypertexte visité" xfId="489" builtinId="9" hidden="1"/>
    <cellStyle name="Lien hypertexte visité" xfId="490" builtinId="9" hidden="1"/>
    <cellStyle name="Lien hypertexte visité" xfId="492" builtinId="9" hidden="1"/>
    <cellStyle name="Lien hypertexte visité" xfId="497" builtinId="9" hidden="1"/>
    <cellStyle name="Lien hypertexte visité" xfId="499" builtinId="9" hidden="1"/>
    <cellStyle name="Lien hypertexte visité" xfId="500" builtinId="9" hidden="1"/>
    <cellStyle name="Lien hypertexte visité" xfId="501" builtinId="9" hidden="1"/>
    <cellStyle name="Lien hypertexte visité" xfId="502" builtinId="9" hidden="1"/>
    <cellStyle name="Lien hypertexte visité" xfId="503"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1" builtinId="9" hidden="1"/>
    <cellStyle name="Lien hypertexte visité" xfId="512" builtinId="9" hidden="1"/>
    <cellStyle name="Lien hypertexte visité" xfId="513" builtinId="9" hidden="1"/>
    <cellStyle name="Lien hypertexte visité" xfId="514" builtinId="9" hidden="1"/>
    <cellStyle name="Lien hypertexte visité" xfId="515" builtinId="9" hidden="1"/>
    <cellStyle name="Lien hypertexte visité" xfId="516" builtinId="9" hidden="1"/>
    <cellStyle name="Lien hypertexte visité" xfId="493" builtinId="9" hidden="1"/>
    <cellStyle name="Lien hypertexte visité" xfId="519" builtinId="9" hidden="1"/>
    <cellStyle name="Lien hypertexte visité" xfId="517" builtinId="9" hidden="1"/>
    <cellStyle name="Lien hypertexte visité" xfId="520" builtinId="9" hidden="1"/>
    <cellStyle name="Lien hypertexte visité" xfId="521" builtinId="9" hidden="1"/>
    <cellStyle name="Lien hypertexte visité" xfId="522" builtinId="9" hidden="1"/>
    <cellStyle name="Lien hypertexte visité" xfId="523"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1" builtinId="9" hidden="1"/>
    <cellStyle name="Lien hypertexte visité" xfId="532" builtinId="9" hidden="1"/>
    <cellStyle name="Lien hypertexte visité" xfId="533" builtinId="9" hidden="1"/>
    <cellStyle name="Lien hypertexte visité" xfId="534" builtinId="9" hidden="1"/>
    <cellStyle name="Lien hypertexte visité" xfId="535" builtinId="9" hidden="1"/>
    <cellStyle name="Lien hypertexte visité" xfId="536" builtinId="9" hidden="1"/>
    <cellStyle name="Milliers" xfId="27" builtinId="3"/>
    <cellStyle name="Neutre" xfId="1" builtinId="28"/>
    <cellStyle name="Normal" xfId="0" builtinId="0"/>
    <cellStyle name="Normal 2" xfId="29"/>
    <cellStyle name="Normal 2 2" xfId="2"/>
    <cellStyle name="Normal 3" xfId="30"/>
    <cellStyle name="Pourcentage" xfId="14" builtinId="5"/>
  </cellStyles>
  <dxfs count="0"/>
  <tableStyles count="0" defaultTableStyle="TableStyleMedium9" defaultPivotStyle="PivotStyleLight16"/>
  <colors>
    <mruColors>
      <color rgb="FFCC00CC"/>
      <color rgb="FFD60093"/>
      <color rgb="FFFF9900"/>
      <color rgb="FFCC3300"/>
      <color rgb="FF660066"/>
      <color rgb="FFFF6600"/>
      <color rgb="FFA50021"/>
      <color rgb="FFFF0066"/>
      <color rgb="FF33CC33"/>
      <color rgb="FFE131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NULL"/><Relationship Id="rId3" Type="http://schemas.openxmlformats.org/officeDocument/2006/relationships/hyperlink" Target="#Commune!A1"/><Relationship Id="rId7" Type="http://schemas.openxmlformats.org/officeDocument/2006/relationships/hyperlink" Target="#Transport!A1"/><Relationship Id="rId12" Type="http://schemas.openxmlformats.org/officeDocument/2006/relationships/image" Target="NULL"/><Relationship Id="rId2" Type="http://schemas.openxmlformats.org/officeDocument/2006/relationships/image" Target="NULL"/><Relationship Id="rId1" Type="http://schemas.openxmlformats.org/officeDocument/2006/relationships/hyperlink" Target="#'Donn&#233;es g&#233;n&#233;rales'!A1"/><Relationship Id="rId6" Type="http://schemas.openxmlformats.org/officeDocument/2006/relationships/image" Target="NULL"/><Relationship Id="rId11" Type="http://schemas.openxmlformats.org/officeDocument/2006/relationships/hyperlink" Target="#'Traitement des eaux us&#233;es'!A1"/><Relationship Id="rId5" Type="http://schemas.openxmlformats.org/officeDocument/2006/relationships/hyperlink" Target="#'Secteur priv&#233;'!A1"/><Relationship Id="rId10" Type="http://schemas.openxmlformats.org/officeDocument/2006/relationships/image" Target="NULL"/><Relationship Id="rId4" Type="http://schemas.openxmlformats.org/officeDocument/2006/relationships/image" Target="NULL"/><Relationship Id="rId9" Type="http://schemas.openxmlformats.org/officeDocument/2006/relationships/hyperlink" Target="#IRE!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3</xdr:col>
      <xdr:colOff>610522</xdr:colOff>
      <xdr:row>14</xdr:row>
      <xdr:rowOff>171450</xdr:rowOff>
    </xdr:from>
    <xdr:to>
      <xdr:col>4</xdr:col>
      <xdr:colOff>86647</xdr:colOff>
      <xdr:row>16</xdr:row>
      <xdr:rowOff>59391</xdr:rowOff>
    </xdr:to>
    <xdr:pic>
      <xdr:nvPicPr>
        <xdr:cNvPr id="5" name="Picture 4" descr="Αποτέλεσμα εικόνας για general information white icon">
          <a:hlinkClick xmlns:r="http://schemas.openxmlformats.org/officeDocument/2006/relationships" r:id="rId1"/>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lum bright="70000" contrast="-70000"/>
          <a:extLst>
            <a:ext uri="{28A0092B-C50C-407E-A947-70E740481C1C}">
              <a14:useLocalDpi xmlns="" xmlns:a14="http://schemas.microsoft.com/office/drawing/2010/main" val="0"/>
            </a:ext>
          </a:extLst>
        </a:blip>
        <a:srcRect/>
        <a:stretch>
          <a:fillRect/>
        </a:stretch>
      </xdr:blipFill>
      <xdr:spPr bwMode="auto">
        <a:xfrm>
          <a:off x="2439322" y="4419600"/>
          <a:ext cx="314325" cy="31656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3</xdr:col>
      <xdr:colOff>558134</xdr:colOff>
      <xdr:row>16</xdr:row>
      <xdr:rowOff>123825</xdr:rowOff>
    </xdr:from>
    <xdr:to>
      <xdr:col>4</xdr:col>
      <xdr:colOff>139034</xdr:colOff>
      <xdr:row>17</xdr:row>
      <xdr:rowOff>223310</xdr:rowOff>
    </xdr:to>
    <xdr:pic>
      <xdr:nvPicPr>
        <xdr:cNvPr id="6" name="Picture 5" descr="Αποτέλεσμα εικόνας για city hall png white">
          <a:hlinkClick xmlns:r="http://schemas.openxmlformats.org/officeDocument/2006/relationships" r:id="rId3"/>
          <a:extLst>
            <a:ext uri="{FF2B5EF4-FFF2-40B4-BE49-F238E27FC236}">
              <a16:creationId xmlns:a16="http://schemas.microsoft.com/office/drawing/2014/main" xmlns="" id="{00000000-0008-0000-0000-000006000000}"/>
            </a:ext>
          </a:extLst>
        </xdr:cNvPr>
        <xdr:cNvPicPr>
          <a:picLocks noChangeAspect="1" noChangeArrowheads="1"/>
        </xdr:cNvPicPr>
      </xdr:nvPicPr>
      <xdr:blipFill rotWithShape="1">
        <a:blip xmlns:r="http://schemas.openxmlformats.org/officeDocument/2006/relationships" r:embed="rId4" cstate="print">
          <a:lum bright="70000" contrast="-70000"/>
          <a:extLst>
            <a:ext uri="{28A0092B-C50C-407E-A947-70E740481C1C}">
              <a14:useLocalDpi xmlns="" xmlns:a14="http://schemas.microsoft.com/office/drawing/2010/main" val="0"/>
            </a:ext>
          </a:extLst>
        </a:blip>
        <a:srcRect t="8695" b="7246"/>
        <a:stretch/>
      </xdr:blipFill>
      <xdr:spPr bwMode="auto">
        <a:xfrm>
          <a:off x="2386934" y="4800600"/>
          <a:ext cx="419100" cy="33760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3</xdr:col>
      <xdr:colOff>562897</xdr:colOff>
      <xdr:row>18</xdr:row>
      <xdr:rowOff>85725</xdr:rowOff>
    </xdr:from>
    <xdr:to>
      <xdr:col>4</xdr:col>
      <xdr:colOff>134272</xdr:colOff>
      <xdr:row>20</xdr:row>
      <xdr:rowOff>27866</xdr:rowOff>
    </xdr:to>
    <xdr:pic>
      <xdr:nvPicPr>
        <xdr:cNvPr id="7" name="Picture 6" descr="Αποτέλεσμα εικόνας για building png white">
          <a:hlinkClick xmlns:r="http://schemas.openxmlformats.org/officeDocument/2006/relationships" r:id="rId5"/>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6" cstate="print">
          <a:lum bright="70000" contrast="-70000"/>
          <a:extLst>
            <a:ext uri="{28A0092B-C50C-407E-A947-70E740481C1C}">
              <a14:useLocalDpi xmlns="" xmlns:a14="http://schemas.microsoft.com/office/drawing/2010/main" val="0"/>
            </a:ext>
          </a:extLst>
        </a:blip>
        <a:srcRect/>
        <a:stretch>
          <a:fillRect/>
        </a:stretch>
      </xdr:blipFill>
      <xdr:spPr bwMode="auto">
        <a:xfrm>
          <a:off x="2391697" y="5238750"/>
          <a:ext cx="409575" cy="4183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3</xdr:col>
      <xdr:colOff>527715</xdr:colOff>
      <xdr:row>20</xdr:row>
      <xdr:rowOff>190500</xdr:rowOff>
    </xdr:from>
    <xdr:to>
      <xdr:col>4</xdr:col>
      <xdr:colOff>169453</xdr:colOff>
      <xdr:row>22</xdr:row>
      <xdr:rowOff>3174</xdr:rowOff>
    </xdr:to>
    <xdr:pic>
      <xdr:nvPicPr>
        <xdr:cNvPr id="8" name="Picture 7" descr="Αποτέλεσμα εικόνας για transport png">
          <a:hlinkClick xmlns:r="http://schemas.openxmlformats.org/officeDocument/2006/relationships" r:id="rId7"/>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8" cstate="print">
          <a:lum bright="70000" contrast="-70000"/>
          <a:extLst>
            <a:ext uri="{28A0092B-C50C-407E-A947-70E740481C1C}">
              <a14:useLocalDpi xmlns="" xmlns:a14="http://schemas.microsoft.com/office/drawing/2010/main" val="0"/>
            </a:ext>
          </a:extLst>
        </a:blip>
        <a:srcRect t="19042" b="19434"/>
        <a:stretch/>
      </xdr:blipFill>
      <xdr:spPr bwMode="auto">
        <a:xfrm>
          <a:off x="2356515" y="5819775"/>
          <a:ext cx="479938" cy="2952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3</xdr:col>
      <xdr:colOff>539084</xdr:colOff>
      <xdr:row>24</xdr:row>
      <xdr:rowOff>123825</xdr:rowOff>
    </xdr:from>
    <xdr:to>
      <xdr:col>4</xdr:col>
      <xdr:colOff>158084</xdr:colOff>
      <xdr:row>25</xdr:row>
      <xdr:rowOff>177790</xdr:rowOff>
    </xdr:to>
    <xdr:pic>
      <xdr:nvPicPr>
        <xdr:cNvPr id="11" name="Picture 10" descr="Αποτέλεσμα εικόνας για co2 png">
          <a:hlinkClick xmlns:r="http://schemas.openxmlformats.org/officeDocument/2006/relationships" r:id="rId9"/>
          <a:extLst>
            <a:ext uri="{FF2B5EF4-FFF2-40B4-BE49-F238E27FC236}">
              <a16:creationId xmlns:a16="http://schemas.microsoft.com/office/drawing/2014/main" xmlns="" id="{00000000-0008-0000-0000-00000B000000}"/>
            </a:ext>
          </a:extLst>
        </xdr:cNvPr>
        <xdr:cNvPicPr>
          <a:picLocks noChangeAspect="1" noChangeArrowheads="1"/>
        </xdr:cNvPicPr>
      </xdr:nvPicPr>
      <xdr:blipFill rotWithShape="1">
        <a:blip xmlns:r="http://schemas.openxmlformats.org/officeDocument/2006/relationships" r:embed="rId10" cstate="print">
          <a:lum bright="70000" contrast="-70000"/>
          <a:extLst>
            <a:ext uri="{28A0092B-C50C-407E-A947-70E740481C1C}">
              <a14:useLocalDpi xmlns="" xmlns:a14="http://schemas.microsoft.com/office/drawing/2010/main" val="0"/>
            </a:ext>
          </a:extLst>
        </a:blip>
        <a:srcRect t="17755" b="18324"/>
        <a:stretch/>
      </xdr:blipFill>
      <xdr:spPr bwMode="auto">
        <a:xfrm>
          <a:off x="2367884" y="7181850"/>
          <a:ext cx="457200" cy="29208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3</xdr:col>
      <xdr:colOff>523875</xdr:colOff>
      <xdr:row>22</xdr:row>
      <xdr:rowOff>209550</xdr:rowOff>
    </xdr:from>
    <xdr:to>
      <xdr:col>4</xdr:col>
      <xdr:colOff>123825</xdr:colOff>
      <xdr:row>24</xdr:row>
      <xdr:rowOff>17370</xdr:rowOff>
    </xdr:to>
    <xdr:pic>
      <xdr:nvPicPr>
        <xdr:cNvPr id="12" name="Picture 11" descr="Αποτέλεσμα εικόνας για water drop png black">
          <a:hlinkClick xmlns:r="http://schemas.openxmlformats.org/officeDocument/2006/relationships" r:id="rId11"/>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12" cstate="print">
          <a:lum bright="70000" contrast="-70000"/>
          <a:extLst>
            <a:ext uri="{28A0092B-C50C-407E-A947-70E740481C1C}">
              <a14:useLocalDpi xmlns="" xmlns:a14="http://schemas.microsoft.com/office/drawing/2010/main" val="0"/>
            </a:ext>
          </a:extLst>
        </a:blip>
        <a:srcRect/>
        <a:stretch>
          <a:fillRect/>
        </a:stretch>
      </xdr:blipFill>
      <xdr:spPr bwMode="auto">
        <a:xfrm>
          <a:off x="2886075" y="4886325"/>
          <a:ext cx="438150" cy="4381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301794</xdr:colOff>
      <xdr:row>9</xdr:row>
      <xdr:rowOff>53229</xdr:rowOff>
    </xdr:from>
    <xdr:to>
      <xdr:col>24</xdr:col>
      <xdr:colOff>60868</xdr:colOff>
      <xdr:row>11</xdr:row>
      <xdr:rowOff>135974</xdr:rowOff>
    </xdr:to>
    <xdr:pic>
      <xdr:nvPicPr>
        <xdr:cNvPr id="2" name="Picture 1" descr="Αποτέλεσμα εικόνας για general information white icon">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 xmlns:a14="http://schemas.microsoft.com/office/drawing/2010/main" val="0"/>
            </a:ext>
          </a:extLst>
        </a:blip>
        <a:srcRect/>
        <a:stretch>
          <a:fillRect/>
        </a:stretch>
      </xdr:blipFill>
      <xdr:spPr bwMode="auto">
        <a:xfrm>
          <a:off x="26352669" y="1910604"/>
          <a:ext cx="473449" cy="46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161587</xdr:colOff>
      <xdr:row>0</xdr:row>
      <xdr:rowOff>86746</xdr:rowOff>
    </xdr:from>
    <xdr:to>
      <xdr:col>0</xdr:col>
      <xdr:colOff>840243</xdr:colOff>
      <xdr:row>0</xdr:row>
      <xdr:rowOff>633442</xdr:rowOff>
    </xdr:to>
    <xdr:pic>
      <xdr:nvPicPr>
        <xdr:cNvPr id="2" name="Picture 1" descr="Αποτέλεσμα εικόνας για city hall png white">
          <a:extLst>
            <a:ext uri="{FF2B5EF4-FFF2-40B4-BE49-F238E27FC236}">
              <a16:creationId xmlns:a16="http://schemas.microsoft.com/office/drawing/2014/main" xmlns="" id="{00000000-0008-0000-0200-000002000000}"/>
            </a:ext>
          </a:extLst>
        </xdr:cNvPr>
        <xdr:cNvPicPr>
          <a:picLocks noChangeAspect="1" noChangeArrowheads="1"/>
        </xdr:cNvPicPr>
      </xdr:nvPicPr>
      <xdr:blipFill rotWithShape="1">
        <a:blip xmlns:r="http://schemas.openxmlformats.org/officeDocument/2006/relationships" r:embed="rId1" cstate="print">
          <a:lum bright="70000" contrast="-70000"/>
          <a:extLst>
            <a:ext uri="{28A0092B-C50C-407E-A947-70E740481C1C}">
              <a14:useLocalDpi xmlns="" xmlns:a14="http://schemas.microsoft.com/office/drawing/2010/main" val="0"/>
            </a:ext>
          </a:extLst>
        </a:blip>
        <a:srcRect t="8695" b="7246"/>
        <a:stretch/>
      </xdr:blipFill>
      <xdr:spPr bwMode="auto">
        <a:xfrm>
          <a:off x="161587" y="86746"/>
          <a:ext cx="678656" cy="5466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523875</xdr:colOff>
      <xdr:row>31</xdr:row>
      <xdr:rowOff>35718</xdr:rowOff>
    </xdr:from>
    <xdr:to>
      <xdr:col>7</xdr:col>
      <xdr:colOff>1000125</xdr:colOff>
      <xdr:row>31</xdr:row>
      <xdr:rowOff>190499</xdr:rowOff>
    </xdr:to>
    <xdr:sp macro="" textlink="">
      <xdr:nvSpPr>
        <xdr:cNvPr id="3" name="Right Arrow 2">
          <a:extLst>
            <a:ext uri="{FF2B5EF4-FFF2-40B4-BE49-F238E27FC236}">
              <a16:creationId xmlns:a16="http://schemas.microsoft.com/office/drawing/2014/main" xmlns="" id="{00000000-0008-0000-0200-000003000000}"/>
            </a:ext>
          </a:extLst>
        </xdr:cNvPr>
        <xdr:cNvSpPr/>
      </xdr:nvSpPr>
      <xdr:spPr>
        <a:xfrm>
          <a:off x="13966031" y="6179343"/>
          <a:ext cx="476250" cy="15478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3</xdr:col>
      <xdr:colOff>261937</xdr:colOff>
      <xdr:row>3</xdr:row>
      <xdr:rowOff>178593</xdr:rowOff>
    </xdr:from>
    <xdr:to>
      <xdr:col>3</xdr:col>
      <xdr:colOff>916781</xdr:colOff>
      <xdr:row>4</xdr:row>
      <xdr:rowOff>154781</xdr:rowOff>
    </xdr:to>
    <xdr:sp macro="" textlink="">
      <xdr:nvSpPr>
        <xdr:cNvPr id="4" name="Flèche vers le bas 3"/>
        <xdr:cNvSpPr/>
      </xdr:nvSpPr>
      <xdr:spPr>
        <a:xfrm>
          <a:off x="7239000" y="1119187"/>
          <a:ext cx="654844" cy="178594"/>
        </a:xfrm>
        <a:prstGeom prst="down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68490</xdr:colOff>
      <xdr:row>0</xdr:row>
      <xdr:rowOff>0</xdr:rowOff>
    </xdr:from>
    <xdr:to>
      <xdr:col>0</xdr:col>
      <xdr:colOff>735239</xdr:colOff>
      <xdr:row>1</xdr:row>
      <xdr:rowOff>744</xdr:rowOff>
    </xdr:to>
    <xdr:pic>
      <xdr:nvPicPr>
        <xdr:cNvPr id="3" name="Picture 2" descr="Αποτέλεσμα εικόνας για building png white">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 xmlns:a14="http://schemas.microsoft.com/office/drawing/2010/main" val="0"/>
            </a:ext>
          </a:extLst>
        </a:blip>
        <a:srcRect/>
        <a:stretch>
          <a:fillRect/>
        </a:stretch>
      </xdr:blipFill>
      <xdr:spPr bwMode="auto">
        <a:xfrm>
          <a:off x="68490" y="0"/>
          <a:ext cx="666749" cy="66749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1047749</xdr:colOff>
      <xdr:row>198</xdr:row>
      <xdr:rowOff>-1</xdr:rowOff>
    </xdr:from>
    <xdr:to>
      <xdr:col>11</xdr:col>
      <xdr:colOff>1166811</xdr:colOff>
      <xdr:row>199</xdr:row>
      <xdr:rowOff>95250</xdr:rowOff>
    </xdr:to>
    <xdr:sp macro="" textlink="">
      <xdr:nvSpPr>
        <xdr:cNvPr id="4" name="Right Arrow 3">
          <a:extLst>
            <a:ext uri="{FF2B5EF4-FFF2-40B4-BE49-F238E27FC236}">
              <a16:creationId xmlns:a16="http://schemas.microsoft.com/office/drawing/2014/main" xmlns="" id="{00000000-0008-0000-0300-000004000000}"/>
            </a:ext>
          </a:extLst>
        </xdr:cNvPr>
        <xdr:cNvSpPr/>
      </xdr:nvSpPr>
      <xdr:spPr>
        <a:xfrm flipV="1">
          <a:off x="13906499" y="13644562"/>
          <a:ext cx="3690937" cy="2857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71437</xdr:colOff>
      <xdr:row>0</xdr:row>
      <xdr:rowOff>83343</xdr:rowOff>
    </xdr:from>
    <xdr:to>
      <xdr:col>0</xdr:col>
      <xdr:colOff>787476</xdr:colOff>
      <xdr:row>0</xdr:row>
      <xdr:rowOff>523875</xdr:rowOff>
    </xdr:to>
    <xdr:pic>
      <xdr:nvPicPr>
        <xdr:cNvPr id="3" name="Picture 2" descr="Αποτέλεσμα εικόνας για transport png">
          <a:extLst>
            <a:ext uri="{FF2B5EF4-FFF2-40B4-BE49-F238E27FC236}">
              <a16:creationId xmlns:a16="http://schemas.microsoft.com/office/drawing/2014/main" xmlns="" id="{00000000-0008-0000-0400-000003000000}"/>
            </a:ext>
          </a:extLst>
        </xdr:cNvPr>
        <xdr:cNvPicPr>
          <a:picLocks noChangeAspect="1" noChangeArrowheads="1"/>
        </xdr:cNvPicPr>
      </xdr:nvPicPr>
      <xdr:blipFill rotWithShape="1">
        <a:blip xmlns:r="http://schemas.openxmlformats.org/officeDocument/2006/relationships" r:embed="rId1" cstate="print">
          <a:lum bright="70000" contrast="-70000"/>
          <a:extLst>
            <a:ext uri="{28A0092B-C50C-407E-A947-70E740481C1C}">
              <a14:useLocalDpi xmlns="" xmlns:a14="http://schemas.microsoft.com/office/drawing/2010/main" val="0"/>
            </a:ext>
          </a:extLst>
        </a:blip>
        <a:srcRect t="19042" b="19434"/>
        <a:stretch/>
      </xdr:blipFill>
      <xdr:spPr bwMode="auto">
        <a:xfrm>
          <a:off x="71437" y="83343"/>
          <a:ext cx="716039" cy="44053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398318</xdr:colOff>
      <xdr:row>39</xdr:row>
      <xdr:rowOff>86591</xdr:rowOff>
    </xdr:from>
    <xdr:to>
      <xdr:col>6</xdr:col>
      <xdr:colOff>874568</xdr:colOff>
      <xdr:row>40</xdr:row>
      <xdr:rowOff>50872</xdr:rowOff>
    </xdr:to>
    <xdr:sp macro="" textlink="">
      <xdr:nvSpPr>
        <xdr:cNvPr id="4" name="Right Arrow 3">
          <a:extLst>
            <a:ext uri="{FF2B5EF4-FFF2-40B4-BE49-F238E27FC236}">
              <a16:creationId xmlns:a16="http://schemas.microsoft.com/office/drawing/2014/main" xmlns="" id="{00000000-0008-0000-0400-000004000000}"/>
            </a:ext>
          </a:extLst>
        </xdr:cNvPr>
        <xdr:cNvSpPr/>
      </xdr:nvSpPr>
      <xdr:spPr>
        <a:xfrm>
          <a:off x="9628909" y="4693227"/>
          <a:ext cx="476250" cy="15478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103911</xdr:colOff>
      <xdr:row>0</xdr:row>
      <xdr:rowOff>103909</xdr:rowOff>
    </xdr:from>
    <xdr:to>
      <xdr:col>0</xdr:col>
      <xdr:colOff>727365</xdr:colOff>
      <xdr:row>0</xdr:row>
      <xdr:rowOff>502212</xdr:rowOff>
    </xdr:to>
    <xdr:pic>
      <xdr:nvPicPr>
        <xdr:cNvPr id="3" name="Picture 2" descr="Αποτέλεσμα εικόνας για co2 png">
          <a:extLst>
            <a:ext uri="{FF2B5EF4-FFF2-40B4-BE49-F238E27FC236}">
              <a16:creationId xmlns:a16="http://schemas.microsoft.com/office/drawing/2014/main" xmlns="" id="{00000000-0008-0000-0600-000003000000}"/>
            </a:ext>
          </a:extLst>
        </xdr:cNvPr>
        <xdr:cNvPicPr>
          <a:picLocks noChangeAspect="1" noChangeArrowheads="1"/>
        </xdr:cNvPicPr>
      </xdr:nvPicPr>
      <xdr:blipFill rotWithShape="1">
        <a:blip xmlns:r="http://schemas.openxmlformats.org/officeDocument/2006/relationships" r:embed="rId1" cstate="print">
          <a:lum bright="70000" contrast="-70000"/>
          <a:extLst>
            <a:ext uri="{28A0092B-C50C-407E-A947-70E740481C1C}">
              <a14:useLocalDpi xmlns="" xmlns:a14="http://schemas.microsoft.com/office/drawing/2010/main" val="0"/>
            </a:ext>
          </a:extLst>
        </a:blip>
        <a:srcRect t="17755" b="18324"/>
        <a:stretch/>
      </xdr:blipFill>
      <xdr:spPr bwMode="auto">
        <a:xfrm>
          <a:off x="103911" y="103909"/>
          <a:ext cx="623454" cy="39830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AppData/Local/Temp/Marocmail-3%20P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ES%20MED%20-%20I%20CARE\Atelier%20Sousse%2030-31%20janvier%202018\RECAP%20BILAN%20DES%20ANNE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s%20documents/ANME/Ciment%20GIZ-ANME/Nouveau%20projet%202015/Audit%20CO2/R&#233;sultats%20pr&#233;liminaires%20Audits%20CO2/Audit%20pr&#233;%20Carthage/Emissions%20Carthage%20cement%20NEW.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General Data"/>
      <sheetName val="Municipality"/>
      <sheetName val="Private Sector"/>
      <sheetName val="Transport"/>
      <sheetName val="Traitement des eaux usées"/>
      <sheetName val="IRE"/>
    </sheetNames>
    <sheetDataSet>
      <sheetData sheetId="0" refreshError="1"/>
      <sheetData sheetId="1" refreshError="1">
        <row r="29">
          <cell r="C29">
            <v>2014</v>
          </cell>
        </row>
        <row r="55">
          <cell r="C55">
            <v>33920000</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ACTEURS"/>
      <sheetName val="Residentiel"/>
      <sheetName val="Industrie"/>
      <sheetName val="Transport"/>
      <sheetName val="Commerciel et servic pub"/>
    </sheetNames>
    <sheetDataSet>
      <sheetData sheetId="0"/>
      <sheetData sheetId="1">
        <row r="6">
          <cell r="B6">
            <v>12860.465116279071</v>
          </cell>
        </row>
        <row r="7">
          <cell r="B7">
            <v>11941.86046511628</v>
          </cell>
        </row>
        <row r="8">
          <cell r="B8">
            <v>12151.162790697674</v>
          </cell>
        </row>
        <row r="9">
          <cell r="B9">
            <v>8023.2558139534876</v>
          </cell>
        </row>
        <row r="10">
          <cell r="B10">
            <v>11383.720930232559</v>
          </cell>
        </row>
        <row r="11">
          <cell r="B11">
            <v>9400.0000000000018</v>
          </cell>
        </row>
        <row r="13">
          <cell r="B13">
            <v>12000.000000000002</v>
          </cell>
        </row>
      </sheetData>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sse Mol"/>
      <sheetName val="Procédés"/>
      <sheetName val="Energie"/>
      <sheetName val="Récap"/>
      <sheetName val="Types ciment"/>
    </sheetNames>
    <sheetDataSet>
      <sheetData sheetId="0"/>
      <sheetData sheetId="1"/>
      <sheetData sheetId="2">
        <row r="32">
          <cell r="B32">
            <v>541.2407090590815</v>
          </cell>
        </row>
      </sheetData>
      <sheetData sheetId="3"/>
      <sheetData sheetId="4"/>
    </sheetDataSet>
  </externalBook>
</externalLink>
</file>

<file path=xl/theme/theme1.xml><?xml version="1.0" encoding="utf-8"?>
<a:theme xmlns:a="http://schemas.openxmlformats.org/drawingml/2006/main" name="Office Theme">
  <a:themeElements>
    <a:clrScheme name="COM">
      <a:dk1>
        <a:sysClr val="windowText" lastClr="000000"/>
      </a:dk1>
      <a:lt1>
        <a:sysClr val="window" lastClr="FFFFFF"/>
      </a:lt1>
      <a:dk2>
        <a:srgbClr val="1F497D"/>
      </a:dk2>
      <a:lt2>
        <a:srgbClr val="EEECE1"/>
      </a:lt2>
      <a:accent1>
        <a:srgbClr val="00479E"/>
      </a:accent1>
      <a:accent2>
        <a:srgbClr val="00A8A4"/>
      </a:accent2>
      <a:accent3>
        <a:srgbClr val="0D8CFF"/>
      </a:accent3>
      <a:accent4>
        <a:srgbClr val="AACB2F"/>
      </a:accent4>
      <a:accent5>
        <a:srgbClr val="EEC600"/>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Y31"/>
  <sheetViews>
    <sheetView tabSelected="1" zoomScale="90" zoomScaleNormal="90" workbookViewId="0">
      <selection sqref="A1:K1"/>
    </sheetView>
  </sheetViews>
  <sheetFormatPr baseColWidth="10" defaultColWidth="8.7109375" defaultRowHeight="15"/>
  <cols>
    <col min="2" max="2" width="17.140625" customWidth="1"/>
    <col min="4" max="4" width="12.5703125" customWidth="1"/>
    <col min="5" max="5" width="8.7109375" customWidth="1"/>
    <col min="12" max="12" width="10.140625" customWidth="1"/>
    <col min="13" max="13" width="18" customWidth="1"/>
    <col min="14" max="14" width="10.140625" bestFit="1" customWidth="1"/>
  </cols>
  <sheetData>
    <row r="1" spans="1:25" ht="28.5">
      <c r="A1" s="254" t="s">
        <v>256</v>
      </c>
      <c r="B1" s="255"/>
      <c r="C1" s="256"/>
      <c r="D1" s="256"/>
      <c r="E1" s="257"/>
      <c r="F1" s="256"/>
      <c r="G1" s="256"/>
      <c r="H1" s="256"/>
      <c r="I1" s="255"/>
      <c r="J1" s="258"/>
      <c r="K1" s="258"/>
      <c r="L1" s="258"/>
      <c r="M1" s="258"/>
      <c r="N1" s="258"/>
      <c r="O1" s="258"/>
      <c r="P1" s="258"/>
      <c r="Q1" s="258"/>
      <c r="R1" s="258"/>
      <c r="S1" s="258"/>
      <c r="T1" s="258"/>
    </row>
    <row r="2" spans="1:25" ht="19.5" customHeight="1">
      <c r="A2" s="259"/>
      <c r="B2" s="259"/>
      <c r="C2" s="259"/>
      <c r="D2" s="259"/>
      <c r="E2" s="259"/>
      <c r="F2" s="259"/>
      <c r="G2" s="259"/>
      <c r="H2" s="259"/>
      <c r="I2" s="259"/>
      <c r="J2" s="259"/>
      <c r="K2" s="259"/>
      <c r="L2" s="259"/>
      <c r="M2" s="259"/>
      <c r="N2" s="259"/>
      <c r="O2" s="259"/>
      <c r="P2" s="259"/>
      <c r="Q2" s="259"/>
      <c r="R2" s="259"/>
      <c r="S2" s="259"/>
      <c r="T2" s="259"/>
    </row>
    <row r="3" spans="1:25">
      <c r="A3" s="219"/>
      <c r="B3" s="219"/>
      <c r="C3" s="219"/>
      <c r="D3" s="219"/>
      <c r="E3" s="219"/>
      <c r="F3" s="219"/>
      <c r="G3" s="219"/>
      <c r="H3" s="219"/>
      <c r="I3" s="219"/>
      <c r="J3" s="219"/>
      <c r="K3" s="219"/>
      <c r="L3" s="219"/>
      <c r="M3" s="219"/>
      <c r="N3" s="219"/>
      <c r="O3" s="219"/>
      <c r="P3" s="219"/>
      <c r="Q3" s="219"/>
      <c r="R3" s="219"/>
      <c r="S3" s="219"/>
      <c r="T3" s="219"/>
    </row>
    <row r="4" spans="1:25">
      <c r="A4" s="219"/>
      <c r="B4" s="219"/>
      <c r="C4" s="219"/>
      <c r="D4" s="219"/>
      <c r="E4" s="219"/>
      <c r="F4" s="219"/>
      <c r="G4" s="219"/>
      <c r="H4" s="219"/>
      <c r="I4" s="260"/>
      <c r="J4" s="261"/>
      <c r="K4" s="261"/>
      <c r="L4" s="261"/>
      <c r="M4" s="262"/>
      <c r="N4" s="219"/>
      <c r="O4" s="219"/>
      <c r="P4" s="219"/>
      <c r="Q4" s="219"/>
      <c r="R4" s="219"/>
      <c r="S4" s="219"/>
      <c r="T4" s="219"/>
    </row>
    <row r="5" spans="1:25" s="87" customFormat="1" ht="27.75" customHeight="1">
      <c r="A5" s="263"/>
      <c r="B5" s="263"/>
      <c r="C5" s="263"/>
      <c r="D5" s="263"/>
      <c r="E5" s="263"/>
      <c r="F5" s="263"/>
      <c r="G5" s="263"/>
      <c r="H5" s="263"/>
      <c r="I5" s="264"/>
      <c r="J5" s="265">
        <v>123</v>
      </c>
      <c r="K5" s="266" t="s">
        <v>259</v>
      </c>
      <c r="L5" s="267"/>
      <c r="M5" s="268"/>
      <c r="N5" s="263"/>
      <c r="O5" s="263"/>
      <c r="P5" s="263"/>
      <c r="Q5" s="263"/>
      <c r="R5" s="263"/>
      <c r="S5" s="263"/>
      <c r="T5" s="263"/>
      <c r="X5" s="87" t="s">
        <v>62</v>
      </c>
    </row>
    <row r="6" spans="1:25">
      <c r="A6" s="219"/>
      <c r="B6" s="219"/>
      <c r="C6" s="219"/>
      <c r="D6" s="219"/>
      <c r="E6" s="219"/>
      <c r="F6" s="219"/>
      <c r="G6" s="219"/>
      <c r="H6" s="219"/>
      <c r="I6" s="269"/>
      <c r="J6" s="270"/>
      <c r="K6" s="270"/>
      <c r="L6" s="270"/>
      <c r="M6" s="271"/>
      <c r="N6" s="219"/>
      <c r="O6" s="219"/>
      <c r="P6" s="219"/>
      <c r="Q6" s="219"/>
      <c r="R6" s="219"/>
      <c r="S6" s="219"/>
      <c r="T6" s="219"/>
    </row>
    <row r="7" spans="1:25" s="87" customFormat="1" ht="25.5" customHeight="1">
      <c r="A7" s="263"/>
      <c r="B7" s="263"/>
      <c r="C7" s="263"/>
      <c r="D7" s="263"/>
      <c r="E7" s="263"/>
      <c r="F7" s="263"/>
      <c r="G7" s="263"/>
      <c r="H7" s="263"/>
      <c r="I7" s="272"/>
      <c r="J7" s="273">
        <v>123</v>
      </c>
      <c r="K7" s="274" t="s">
        <v>260</v>
      </c>
      <c r="L7" s="275"/>
      <c r="M7" s="276"/>
      <c r="N7" s="263"/>
      <c r="O7" s="263"/>
      <c r="P7" s="263"/>
      <c r="Q7" s="263"/>
      <c r="R7" s="263"/>
      <c r="S7" s="263"/>
      <c r="T7" s="263"/>
    </row>
    <row r="8" spans="1:25" s="76" customFormat="1">
      <c r="A8" s="219"/>
      <c r="B8" s="219"/>
      <c r="C8" s="219"/>
      <c r="D8" s="219"/>
      <c r="E8" s="219"/>
      <c r="F8" s="219"/>
      <c r="G8" s="219"/>
      <c r="H8" s="219"/>
      <c r="I8" s="277"/>
      <c r="J8" s="270"/>
      <c r="K8" s="278"/>
      <c r="L8" s="279"/>
      <c r="M8" s="280"/>
      <c r="N8" s="219"/>
      <c r="O8" s="219"/>
      <c r="P8" s="219"/>
      <c r="Q8" s="219"/>
      <c r="R8" s="219"/>
      <c r="S8" s="219"/>
      <c r="T8" s="219"/>
    </row>
    <row r="9" spans="1:25" s="87" customFormat="1" ht="29.25" customHeight="1">
      <c r="A9" s="263"/>
      <c r="B9" s="263"/>
      <c r="C9" s="263"/>
      <c r="D9" s="263"/>
      <c r="E9" s="263"/>
      <c r="F9" s="263"/>
      <c r="G9" s="263"/>
      <c r="H9" s="263"/>
      <c r="I9" s="264"/>
      <c r="J9" s="281"/>
      <c r="K9" s="650" t="s">
        <v>67</v>
      </c>
      <c r="L9" s="650"/>
      <c r="M9" s="268"/>
      <c r="N9" s="263"/>
      <c r="O9" s="263"/>
      <c r="P9" s="263"/>
      <c r="Q9" s="263"/>
      <c r="R9" s="263"/>
      <c r="S9" s="263"/>
      <c r="T9" s="263"/>
    </row>
    <row r="10" spans="1:25" s="76" customFormat="1">
      <c r="A10" s="219"/>
      <c r="B10" s="219"/>
      <c r="C10" s="219"/>
      <c r="D10" s="219"/>
      <c r="E10" s="219"/>
      <c r="F10" s="219"/>
      <c r="G10" s="219"/>
      <c r="H10" s="219"/>
      <c r="I10" s="269"/>
      <c r="J10" s="270"/>
      <c r="K10" s="282"/>
      <c r="L10" s="282"/>
      <c r="M10" s="271"/>
      <c r="N10" s="219"/>
      <c r="O10" s="219"/>
      <c r="P10" s="219"/>
      <c r="Q10" s="219"/>
      <c r="R10" s="219"/>
      <c r="S10" s="219"/>
      <c r="T10" s="219"/>
    </row>
    <row r="11" spans="1:25" ht="31.5" customHeight="1">
      <c r="A11" s="219"/>
      <c r="B11" s="219"/>
      <c r="C11" s="219"/>
      <c r="D11" s="219"/>
      <c r="E11" s="219"/>
      <c r="F11" s="219"/>
      <c r="G11" s="219"/>
      <c r="H11" s="219"/>
      <c r="I11" s="269"/>
      <c r="J11" s="283">
        <v>123</v>
      </c>
      <c r="K11" s="651" t="s">
        <v>268</v>
      </c>
      <c r="L11" s="652"/>
      <c r="M11" s="653"/>
      <c r="N11" s="219"/>
      <c r="O11" s="219"/>
      <c r="P11" s="219"/>
      <c r="Q11" s="219"/>
      <c r="R11" s="219"/>
      <c r="S11" s="219"/>
      <c r="T11" s="219"/>
      <c r="Y11" t="s">
        <v>62</v>
      </c>
    </row>
    <row r="12" spans="1:25">
      <c r="A12" s="219"/>
      <c r="B12" s="219"/>
      <c r="C12" s="219"/>
      <c r="D12" s="219"/>
      <c r="E12" s="219"/>
      <c r="F12" s="219"/>
      <c r="G12" s="219"/>
      <c r="H12" s="219"/>
      <c r="I12" s="284"/>
      <c r="J12" s="285"/>
      <c r="K12" s="285"/>
      <c r="L12" s="286"/>
      <c r="M12" s="287"/>
      <c r="N12" s="219"/>
      <c r="O12" s="219"/>
      <c r="P12" s="219"/>
      <c r="Q12" s="219"/>
      <c r="R12" s="219"/>
      <c r="S12" s="219"/>
      <c r="T12" s="219"/>
    </row>
    <row r="13" spans="1:25" ht="15.75" thickBot="1">
      <c r="A13" s="219"/>
      <c r="B13" s="219"/>
      <c r="C13" s="219"/>
      <c r="D13" s="219"/>
      <c r="E13" s="219"/>
      <c r="F13" s="219"/>
      <c r="G13" s="219"/>
      <c r="H13" s="219"/>
      <c r="I13" s="219"/>
      <c r="J13" s="219"/>
      <c r="K13" s="219"/>
      <c r="L13" s="219"/>
      <c r="M13" s="219"/>
      <c r="N13" s="219"/>
      <c r="O13" s="219"/>
      <c r="P13" s="219"/>
      <c r="Q13" s="219"/>
      <c r="R13" s="219"/>
      <c r="S13" s="219"/>
      <c r="T13" s="219"/>
    </row>
    <row r="14" spans="1:25" ht="20.25" thickTop="1" thickBot="1">
      <c r="A14" s="219"/>
      <c r="B14" s="638" t="s">
        <v>35</v>
      </c>
      <c r="C14" s="639"/>
      <c r="D14" s="639"/>
      <c r="E14" s="640"/>
      <c r="F14" s="219"/>
      <c r="G14" s="219"/>
      <c r="H14" s="219"/>
      <c r="I14" s="219"/>
      <c r="J14" s="219"/>
      <c r="K14" s="219"/>
      <c r="L14" s="219"/>
      <c r="M14" s="219"/>
      <c r="N14" s="219"/>
      <c r="O14" s="219"/>
      <c r="P14" s="219"/>
      <c r="Q14" s="219"/>
      <c r="R14" s="219"/>
      <c r="S14" s="219"/>
      <c r="T14" s="219"/>
    </row>
    <row r="15" spans="1:25">
      <c r="A15" s="219"/>
      <c r="B15" s="288"/>
      <c r="C15" s="270"/>
      <c r="D15" s="270"/>
      <c r="E15" s="289"/>
      <c r="F15" s="219"/>
      <c r="G15" s="219"/>
      <c r="H15" s="641" t="s">
        <v>261</v>
      </c>
      <c r="I15" s="642"/>
      <c r="J15" s="642"/>
      <c r="K15" s="642"/>
      <c r="L15" s="642"/>
      <c r="M15" s="642"/>
      <c r="N15" s="642"/>
      <c r="O15" s="642"/>
      <c r="P15" s="642"/>
      <c r="Q15" s="643"/>
      <c r="R15" s="219"/>
      <c r="S15" s="219"/>
      <c r="T15" s="219"/>
    </row>
    <row r="16" spans="1:25" ht="18.75">
      <c r="A16" s="219"/>
      <c r="B16" s="290" t="s">
        <v>262</v>
      </c>
      <c r="C16" s="291"/>
      <c r="D16" s="291"/>
      <c r="E16" s="289"/>
      <c r="F16" s="219"/>
      <c r="G16" s="219"/>
      <c r="H16" s="644"/>
      <c r="I16" s="645"/>
      <c r="J16" s="645"/>
      <c r="K16" s="645"/>
      <c r="L16" s="645"/>
      <c r="M16" s="645"/>
      <c r="N16" s="645"/>
      <c r="O16" s="645"/>
      <c r="P16" s="645"/>
      <c r="Q16" s="646"/>
      <c r="R16" s="219"/>
      <c r="S16" s="219"/>
      <c r="T16" s="219"/>
    </row>
    <row r="17" spans="1:20" ht="18.75">
      <c r="A17" s="219"/>
      <c r="B17" s="292"/>
      <c r="C17" s="291"/>
      <c r="D17" s="291"/>
      <c r="E17" s="289"/>
      <c r="F17" s="219"/>
      <c r="G17" s="219"/>
      <c r="H17" s="644"/>
      <c r="I17" s="645"/>
      <c r="J17" s="645"/>
      <c r="K17" s="645"/>
      <c r="L17" s="645"/>
      <c r="M17" s="645"/>
      <c r="N17" s="645"/>
      <c r="O17" s="645"/>
      <c r="P17" s="645"/>
      <c r="Q17" s="646"/>
      <c r="R17" s="219"/>
      <c r="S17" s="219"/>
      <c r="T17" s="219"/>
    </row>
    <row r="18" spans="1:20" ht="18.75">
      <c r="A18" s="219"/>
      <c r="B18" s="290" t="s">
        <v>263</v>
      </c>
      <c r="C18" s="291"/>
      <c r="D18" s="291"/>
      <c r="E18" s="289"/>
      <c r="F18" s="219"/>
      <c r="G18" s="219"/>
      <c r="H18" s="644"/>
      <c r="I18" s="645"/>
      <c r="J18" s="645"/>
      <c r="K18" s="645"/>
      <c r="L18" s="645"/>
      <c r="M18" s="645"/>
      <c r="N18" s="645"/>
      <c r="O18" s="645"/>
      <c r="P18" s="645"/>
      <c r="Q18" s="646"/>
      <c r="R18" s="219"/>
      <c r="S18" s="219"/>
      <c r="T18" s="219"/>
    </row>
    <row r="19" spans="1:20" ht="18.75">
      <c r="A19" s="219"/>
      <c r="B19" s="292"/>
      <c r="C19" s="291"/>
      <c r="D19" s="291"/>
      <c r="E19" s="289"/>
      <c r="F19" s="219"/>
      <c r="G19" s="219"/>
      <c r="H19" s="644"/>
      <c r="I19" s="645"/>
      <c r="J19" s="645"/>
      <c r="K19" s="645"/>
      <c r="L19" s="645"/>
      <c r="M19" s="645"/>
      <c r="N19" s="645"/>
      <c r="O19" s="645"/>
      <c r="P19" s="645"/>
      <c r="Q19" s="646"/>
      <c r="R19" s="219"/>
      <c r="S19" s="219"/>
      <c r="T19" s="219"/>
    </row>
    <row r="20" spans="1:20" ht="18.75">
      <c r="A20" s="219"/>
      <c r="B20" s="290" t="s">
        <v>264</v>
      </c>
      <c r="C20" s="291"/>
      <c r="D20" s="291"/>
      <c r="E20" s="289"/>
      <c r="F20" s="219"/>
      <c r="G20" s="219"/>
      <c r="H20" s="644"/>
      <c r="I20" s="645"/>
      <c r="J20" s="645"/>
      <c r="K20" s="645"/>
      <c r="L20" s="645"/>
      <c r="M20" s="645"/>
      <c r="N20" s="645"/>
      <c r="O20" s="645"/>
      <c r="P20" s="645"/>
      <c r="Q20" s="646"/>
      <c r="R20" s="219"/>
      <c r="S20" s="219"/>
      <c r="T20" s="219"/>
    </row>
    <row r="21" spans="1:20" ht="19.5" thickBot="1">
      <c r="A21" s="219"/>
      <c r="B21" s="292"/>
      <c r="C21" s="291"/>
      <c r="D21" s="291"/>
      <c r="E21" s="289"/>
      <c r="F21" s="219"/>
      <c r="G21" s="219"/>
      <c r="H21" s="647"/>
      <c r="I21" s="648"/>
      <c r="J21" s="648"/>
      <c r="K21" s="648"/>
      <c r="L21" s="648"/>
      <c r="M21" s="648"/>
      <c r="N21" s="648"/>
      <c r="O21" s="648"/>
      <c r="P21" s="648"/>
      <c r="Q21" s="649"/>
      <c r="R21" s="219"/>
      <c r="S21" s="219"/>
      <c r="T21" s="219"/>
    </row>
    <row r="22" spans="1:20" ht="18.75">
      <c r="A22" s="219"/>
      <c r="B22" s="290" t="s">
        <v>265</v>
      </c>
      <c r="C22" s="291"/>
      <c r="D22" s="291"/>
      <c r="E22" s="289"/>
      <c r="F22" s="219"/>
      <c r="G22" s="219"/>
      <c r="H22" s="219"/>
      <c r="I22" s="219"/>
      <c r="J22" s="219"/>
      <c r="K22" s="219"/>
      <c r="L22" s="219"/>
      <c r="M22" s="219"/>
      <c r="N22" s="219"/>
      <c r="O22" s="219"/>
      <c r="P22" s="219"/>
      <c r="Q22" s="219"/>
      <c r="R22" s="219"/>
      <c r="S22" s="219"/>
      <c r="T22" s="219"/>
    </row>
    <row r="23" spans="1:20" ht="18.75">
      <c r="A23" s="219"/>
      <c r="B23" s="292"/>
      <c r="C23" s="291"/>
      <c r="D23" s="291"/>
      <c r="E23" s="289"/>
      <c r="F23" s="219"/>
      <c r="G23" s="219"/>
      <c r="H23" s="219"/>
      <c r="I23" s="219"/>
      <c r="J23" s="219"/>
      <c r="K23" s="219"/>
      <c r="L23" s="219"/>
      <c r="M23" s="219"/>
      <c r="N23" s="219"/>
      <c r="O23" s="219"/>
      <c r="P23" s="219"/>
      <c r="Q23" s="219"/>
      <c r="R23" s="219"/>
      <c r="S23" s="219"/>
      <c r="T23" s="219"/>
    </row>
    <row r="24" spans="1:20" ht="30.75">
      <c r="A24" s="219"/>
      <c r="B24" s="293" t="s">
        <v>266</v>
      </c>
      <c r="C24" s="291"/>
      <c r="D24" s="291"/>
      <c r="E24" s="289"/>
      <c r="F24" s="219"/>
      <c r="G24" s="219"/>
      <c r="H24" s="219"/>
      <c r="I24" s="219"/>
      <c r="J24" s="219"/>
      <c r="K24" s="219"/>
      <c r="L24" s="219"/>
      <c r="M24" s="219"/>
      <c r="N24" s="219"/>
      <c r="O24" s="219"/>
      <c r="P24" s="219"/>
      <c r="Q24" s="219"/>
      <c r="R24" s="219"/>
      <c r="S24" s="219"/>
      <c r="T24" s="219"/>
    </row>
    <row r="25" spans="1:20" ht="18.75">
      <c r="A25" s="219"/>
      <c r="B25" s="292"/>
      <c r="C25" s="291"/>
      <c r="D25" s="291"/>
      <c r="E25" s="289"/>
      <c r="F25" s="219"/>
      <c r="G25" s="219"/>
      <c r="H25" s="219"/>
      <c r="I25" s="219"/>
      <c r="J25" s="219"/>
      <c r="K25" s="219"/>
      <c r="L25" s="219"/>
      <c r="M25" s="219"/>
      <c r="N25" s="219"/>
      <c r="O25" s="219"/>
      <c r="P25" s="219"/>
      <c r="Q25" s="219"/>
      <c r="R25" s="219"/>
      <c r="S25" s="219"/>
      <c r="T25" s="219"/>
    </row>
    <row r="26" spans="1:20" ht="19.5" thickBot="1">
      <c r="A26" s="219"/>
      <c r="B26" s="294" t="s">
        <v>267</v>
      </c>
      <c r="C26" s="295"/>
      <c r="D26" s="295"/>
      <c r="E26" s="296"/>
      <c r="F26" s="219"/>
      <c r="G26" s="219"/>
      <c r="H26" s="219"/>
      <c r="I26" s="219"/>
      <c r="J26" s="219"/>
      <c r="K26" s="219"/>
      <c r="L26" s="219"/>
      <c r="M26" s="219"/>
      <c r="N26" s="219"/>
      <c r="O26" s="219"/>
      <c r="P26" s="219"/>
      <c r="Q26" s="219"/>
      <c r="R26" s="219"/>
      <c r="S26" s="219"/>
      <c r="T26" s="219"/>
    </row>
    <row r="27" spans="1:20" ht="15.75" thickTop="1">
      <c r="A27" s="219"/>
      <c r="B27" s="219"/>
      <c r="C27" s="219"/>
      <c r="D27" s="219"/>
      <c r="E27" s="219"/>
      <c r="F27" s="219"/>
      <c r="G27" s="219"/>
      <c r="H27" s="219"/>
      <c r="I27" s="219"/>
      <c r="J27" s="219"/>
      <c r="K27" s="219"/>
      <c r="L27" s="219"/>
      <c r="M27" s="219"/>
      <c r="N27" s="219"/>
      <c r="O27" s="219"/>
      <c r="P27" s="219"/>
      <c r="Q27" s="219"/>
      <c r="R27" s="219"/>
      <c r="S27" s="219"/>
      <c r="T27" s="219"/>
    </row>
    <row r="28" spans="1:20">
      <c r="A28" s="8"/>
      <c r="B28" s="8"/>
      <c r="C28" s="8"/>
      <c r="D28" s="8"/>
      <c r="E28" s="8"/>
      <c r="F28" s="8"/>
      <c r="G28" s="8"/>
      <c r="H28" s="8"/>
      <c r="I28" s="8"/>
      <c r="J28" s="8"/>
      <c r="K28" s="8"/>
      <c r="L28" s="8"/>
      <c r="M28" s="8"/>
      <c r="N28" s="8"/>
      <c r="O28" s="8"/>
      <c r="P28" s="8"/>
      <c r="Q28" s="8"/>
      <c r="R28" s="8"/>
      <c r="S28" s="8"/>
      <c r="T28" s="8"/>
    </row>
    <row r="29" spans="1:20">
      <c r="A29" s="8"/>
      <c r="B29" s="8"/>
      <c r="C29" s="8"/>
      <c r="D29" s="8"/>
      <c r="E29" s="8"/>
      <c r="F29" s="8"/>
      <c r="G29" s="8"/>
      <c r="H29" s="8"/>
      <c r="I29" s="8"/>
      <c r="J29" s="8"/>
      <c r="K29" s="8"/>
      <c r="L29" s="8"/>
      <c r="M29" s="8"/>
      <c r="N29" s="8"/>
      <c r="O29" s="8"/>
      <c r="P29" s="8"/>
      <c r="Q29" s="8"/>
      <c r="R29" s="8"/>
      <c r="S29" s="8"/>
      <c r="T29" s="8"/>
    </row>
    <row r="30" spans="1:20">
      <c r="A30" s="8"/>
      <c r="B30" s="8"/>
      <c r="C30" s="8"/>
      <c r="D30" s="8"/>
      <c r="E30" s="8"/>
      <c r="F30" s="8"/>
      <c r="G30" s="8"/>
      <c r="H30" s="8"/>
      <c r="I30" s="8"/>
      <c r="J30" s="8"/>
      <c r="K30" s="8"/>
      <c r="L30" s="8"/>
      <c r="M30" s="8"/>
      <c r="N30" s="8"/>
      <c r="O30" s="8"/>
      <c r="P30" s="8"/>
      <c r="Q30" s="8"/>
      <c r="R30" s="8"/>
      <c r="S30" s="8"/>
      <c r="T30" s="8"/>
    </row>
    <row r="31" spans="1:20">
      <c r="A31" s="8"/>
      <c r="B31" s="8"/>
      <c r="C31" s="8"/>
      <c r="D31" s="8"/>
      <c r="E31" s="8"/>
      <c r="F31" s="8"/>
      <c r="G31" s="8"/>
      <c r="H31" s="8"/>
      <c r="I31" s="8"/>
      <c r="J31" s="8"/>
      <c r="K31" s="8"/>
      <c r="L31" s="8"/>
      <c r="M31" s="8"/>
      <c r="N31" s="8"/>
      <c r="O31" s="8"/>
      <c r="P31" s="8"/>
      <c r="Q31" s="8"/>
      <c r="R31" s="8"/>
      <c r="S31" s="8"/>
      <c r="T31" s="8"/>
    </row>
  </sheetData>
  <sheetProtection password="CC6F" sheet="1" objects="1" scenarios="1"/>
  <mergeCells count="4">
    <mergeCell ref="B14:E14"/>
    <mergeCell ref="H15:Q21"/>
    <mergeCell ref="K9:L9"/>
    <mergeCell ref="K11:M11"/>
  </mergeCells>
  <dataValidations count="2">
    <dataValidation allowBlank="1" showInputMessage="1" showErrorMessage="1" prompt="Definition" sqref="D11"/>
    <dataValidation allowBlank="1" showInputMessage="1" showErrorMessage="1" prompt="When clicking, you will be provided with definitions or clarifications regarding each specific field." sqref="D6"/>
  </dataValidations>
  <hyperlinks>
    <hyperlink ref="B18" location="'3-Commune'!A1" display="3-Commune"/>
    <hyperlink ref="B20" location="'4-Secteur privé'!A1" display="4-Secteur privé"/>
    <hyperlink ref="B22" location="'5-Transport'!A1" display="5-Transport"/>
    <hyperlink ref="B24" location="'6-Traitement des eaux usées'!A1" display="6-Traitement des eaux usées"/>
    <hyperlink ref="B26" location="'7-IRE'!A1" display="7-IRE"/>
    <hyperlink ref="B16" location="'2-Données générales'!A1" display="Données générale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FF6600"/>
  </sheetPr>
  <dimension ref="A1:CJ140"/>
  <sheetViews>
    <sheetView zoomScale="80" zoomScaleNormal="80" workbookViewId="0">
      <selection sqref="A1:R2"/>
    </sheetView>
  </sheetViews>
  <sheetFormatPr baseColWidth="10" defaultColWidth="9.140625" defaultRowHeight="15"/>
  <cols>
    <col min="1" max="1" width="9.140625" style="3"/>
    <col min="2" max="2" width="34.140625" style="3" customWidth="1"/>
    <col min="3" max="3" width="30.7109375" style="3" bestFit="1" customWidth="1"/>
    <col min="4" max="4" width="31.140625" style="3" bestFit="1" customWidth="1"/>
    <col min="5" max="5" width="23.28515625" style="3" customWidth="1"/>
    <col min="6" max="6" width="20.7109375" style="3" customWidth="1"/>
    <col min="7" max="7" width="23.85546875" style="3" customWidth="1"/>
    <col min="8" max="8" width="24" style="3" customWidth="1"/>
    <col min="9" max="9" width="11.85546875" style="3" customWidth="1"/>
    <col min="10" max="10" width="11.140625" style="3" customWidth="1"/>
    <col min="11" max="12" width="10.7109375" style="3" bestFit="1" customWidth="1"/>
    <col min="13" max="13" width="16.7109375" style="3" customWidth="1"/>
    <col min="14" max="14" width="9.7109375" style="3" bestFit="1" customWidth="1"/>
    <col min="15" max="19" width="9.140625" style="3"/>
    <col min="20" max="20" width="33.5703125" style="3" customWidth="1"/>
    <col min="21" max="21" width="20.28515625" style="3" bestFit="1" customWidth="1"/>
    <col min="22" max="22" width="10.5703125" style="3" customWidth="1"/>
    <col min="23" max="25" width="10.5703125" style="3" bestFit="1" customWidth="1"/>
    <col min="26" max="26" width="10.5703125" style="68" customWidth="1"/>
    <col min="27" max="27" width="10.7109375" style="3" bestFit="1" customWidth="1"/>
    <col min="28" max="28" width="20.28515625" style="3" customWidth="1"/>
    <col min="29" max="31" width="13" style="3" customWidth="1"/>
    <col min="32" max="32" width="13" style="68" customWidth="1"/>
    <col min="33" max="33" width="13" style="3" customWidth="1"/>
    <col min="34" max="37" width="10.7109375" style="3" bestFit="1" customWidth="1"/>
    <col min="38" max="38" width="10.7109375" style="68" customWidth="1"/>
    <col min="39" max="44" width="12.42578125" style="3" bestFit="1" customWidth="1"/>
    <col min="45" max="45" width="12.28515625" style="3" customWidth="1"/>
    <col min="46" max="46" width="13.42578125" style="68" customWidth="1"/>
    <col min="47" max="47" width="11.140625" style="68" customWidth="1"/>
    <col min="48" max="48" width="11.85546875" style="68" customWidth="1"/>
    <col min="49" max="49" width="13.85546875" style="68" customWidth="1"/>
    <col min="50" max="50" width="14.28515625" style="68" customWidth="1"/>
    <col min="51" max="51" width="9.140625" style="68"/>
    <col min="52" max="52" width="33.140625" style="3" customWidth="1"/>
    <col min="53" max="53" width="9.5703125" style="3" customWidth="1"/>
    <col min="54" max="54" width="9.140625" style="3" customWidth="1"/>
    <col min="55" max="57" width="9.140625" style="3"/>
    <col min="58" max="58" width="9.140625" style="68"/>
    <col min="59" max="63" width="9.140625" style="3"/>
    <col min="64" max="64" width="9.140625" style="68"/>
    <col min="65" max="69" width="9.140625" style="3"/>
    <col min="70" max="70" width="9.140625" style="68"/>
    <col min="71" max="16384" width="9.140625" style="3"/>
  </cols>
  <sheetData>
    <row r="1" spans="1:19">
      <c r="A1" s="687" t="s">
        <v>69</v>
      </c>
      <c r="B1" s="687"/>
      <c r="C1" s="687"/>
      <c r="D1" s="687"/>
      <c r="E1" s="687"/>
      <c r="F1" s="687"/>
      <c r="G1" s="687"/>
      <c r="H1" s="687"/>
      <c r="I1" s="687"/>
      <c r="J1" s="687"/>
      <c r="K1" s="687"/>
      <c r="L1" s="687"/>
      <c r="M1" s="687"/>
      <c r="N1" s="687"/>
      <c r="O1" s="687"/>
      <c r="P1" s="687"/>
      <c r="Q1" s="687"/>
      <c r="R1" s="687"/>
    </row>
    <row r="2" spans="1:19" ht="33" customHeight="1">
      <c r="A2" s="687"/>
      <c r="B2" s="687"/>
      <c r="C2" s="687"/>
      <c r="D2" s="687"/>
      <c r="E2" s="687"/>
      <c r="F2" s="687"/>
      <c r="G2" s="687"/>
      <c r="H2" s="687"/>
      <c r="I2" s="687"/>
      <c r="J2" s="687"/>
      <c r="K2" s="687"/>
      <c r="L2" s="687"/>
      <c r="M2" s="687"/>
      <c r="N2" s="687"/>
      <c r="O2" s="687"/>
      <c r="P2" s="687"/>
      <c r="Q2" s="687"/>
      <c r="R2" s="687"/>
    </row>
    <row r="3" spans="1:19" ht="6" customHeight="1">
      <c r="A3" s="5"/>
      <c r="B3" s="5"/>
      <c r="C3" s="5"/>
      <c r="D3" s="5"/>
      <c r="E3" s="5"/>
      <c r="F3" s="5"/>
      <c r="G3" s="5"/>
      <c r="H3" s="5"/>
      <c r="I3" s="5"/>
      <c r="J3" s="5"/>
      <c r="K3" s="5"/>
      <c r="L3" s="5"/>
      <c r="M3" s="5"/>
      <c r="N3" s="5"/>
      <c r="O3" s="5"/>
      <c r="P3" s="5"/>
      <c r="Q3" s="5"/>
      <c r="R3" s="5"/>
    </row>
    <row r="4" spans="1:19" ht="15" customHeight="1">
      <c r="A4" s="297"/>
      <c r="B4" s="300"/>
      <c r="C4" s="298"/>
      <c r="D4" s="298"/>
      <c r="E4" s="298"/>
      <c r="F4" s="298"/>
      <c r="G4" s="298"/>
      <c r="H4" s="298"/>
      <c r="I4" s="298"/>
      <c r="J4" s="298"/>
      <c r="K4" s="298"/>
      <c r="L4" s="298"/>
      <c r="M4" s="297"/>
      <c r="N4" s="297"/>
      <c r="O4" s="297"/>
      <c r="P4" s="297"/>
      <c r="Q4" s="297"/>
      <c r="R4" s="297"/>
    </row>
    <row r="5" spans="1:19" ht="15" customHeight="1">
      <c r="A5" s="18" t="s">
        <v>70</v>
      </c>
      <c r="B5" s="220"/>
      <c r="C5" s="221"/>
      <c r="D5" s="221"/>
      <c r="E5" s="221"/>
      <c r="F5" s="221"/>
      <c r="G5" s="221"/>
      <c r="H5" s="221"/>
      <c r="I5" s="221"/>
      <c r="J5" s="221"/>
      <c r="K5" s="221"/>
      <c r="L5" s="221"/>
      <c r="M5" s="253"/>
      <c r="N5" s="253"/>
      <c r="O5" s="253"/>
      <c r="P5" s="253"/>
      <c r="Q5" s="253"/>
      <c r="R5" s="253"/>
      <c r="S5" s="299"/>
    </row>
    <row r="6" spans="1:19" ht="15" customHeight="1">
      <c r="A6" s="297"/>
      <c r="B6" s="300"/>
      <c r="C6" s="298"/>
      <c r="D6" s="298"/>
      <c r="E6" s="298"/>
      <c r="F6" s="298"/>
      <c r="G6" s="298"/>
      <c r="H6" s="298"/>
      <c r="I6" s="298"/>
      <c r="J6" s="298"/>
      <c r="K6" s="298"/>
      <c r="L6" s="298"/>
      <c r="M6" s="297"/>
      <c r="N6" s="297"/>
      <c r="O6" s="297"/>
      <c r="P6" s="297"/>
      <c r="Q6" s="297"/>
      <c r="R6" s="297"/>
      <c r="S6" s="299"/>
    </row>
    <row r="7" spans="1:19" ht="15" customHeight="1">
      <c r="A7" s="297"/>
      <c r="B7" s="317" t="s">
        <v>71</v>
      </c>
      <c r="C7" s="51">
        <v>2013</v>
      </c>
      <c r="D7" s="298"/>
      <c r="E7" s="298"/>
      <c r="F7" s="298"/>
      <c r="G7" s="298"/>
      <c r="H7" s="298"/>
      <c r="I7" s="298"/>
      <c r="J7" s="298"/>
      <c r="K7" s="298"/>
      <c r="L7" s="298"/>
      <c r="M7" s="297"/>
      <c r="N7" s="297"/>
      <c r="O7" s="297"/>
      <c r="P7" s="297"/>
      <c r="Q7" s="297"/>
      <c r="R7" s="297"/>
      <c r="S7" s="298">
        <v>2008</v>
      </c>
    </row>
    <row r="8" spans="1:19" ht="15" customHeight="1">
      <c r="A8" s="297"/>
      <c r="B8" s="300"/>
      <c r="C8" s="298"/>
      <c r="D8" s="298"/>
      <c r="E8" s="298"/>
      <c r="F8" s="298"/>
      <c r="G8" s="298"/>
      <c r="H8" s="298"/>
      <c r="I8" s="298"/>
      <c r="J8" s="298"/>
      <c r="K8" s="298"/>
      <c r="L8" s="298"/>
      <c r="M8" s="297"/>
      <c r="N8" s="297"/>
      <c r="O8" s="297"/>
      <c r="P8" s="297"/>
      <c r="Q8" s="297"/>
      <c r="R8" s="297"/>
      <c r="S8" s="298">
        <v>2009</v>
      </c>
    </row>
    <row r="9" spans="1:19" ht="15" customHeight="1">
      <c r="A9" s="18" t="s">
        <v>72</v>
      </c>
      <c r="B9" s="220"/>
      <c r="C9" s="221"/>
      <c r="D9" s="221"/>
      <c r="E9" s="221"/>
      <c r="F9" s="221"/>
      <c r="G9" s="221"/>
      <c r="H9" s="221"/>
      <c r="I9" s="221"/>
      <c r="J9" s="221"/>
      <c r="K9" s="221"/>
      <c r="L9" s="221"/>
      <c r="M9" s="253"/>
      <c r="N9" s="253"/>
      <c r="O9" s="253"/>
      <c r="P9" s="253"/>
      <c r="Q9" s="253"/>
      <c r="R9" s="253"/>
      <c r="S9" s="298">
        <v>2010</v>
      </c>
    </row>
    <row r="10" spans="1:19" ht="15" customHeight="1">
      <c r="A10" s="297"/>
      <c r="B10" s="300"/>
      <c r="C10" s="298"/>
      <c r="D10" s="298"/>
      <c r="E10" s="298"/>
      <c r="F10" s="298"/>
      <c r="G10" s="298"/>
      <c r="H10" s="298"/>
      <c r="I10" s="298"/>
      <c r="J10" s="298"/>
      <c r="K10" s="298"/>
      <c r="L10" s="298"/>
      <c r="M10" s="297"/>
      <c r="N10" s="297"/>
      <c r="O10" s="297"/>
      <c r="P10" s="297"/>
      <c r="Q10" s="297"/>
      <c r="R10" s="297"/>
      <c r="S10" s="298">
        <v>2011</v>
      </c>
    </row>
    <row r="11" spans="1:19" ht="15" customHeight="1" thickBot="1">
      <c r="A11" s="297"/>
      <c r="B11" s="298"/>
      <c r="C11" s="298"/>
      <c r="D11" s="298"/>
      <c r="E11" s="298"/>
      <c r="F11" s="298"/>
      <c r="G11" s="298"/>
      <c r="H11" s="298"/>
      <c r="I11" s="298"/>
      <c r="J11" s="298"/>
      <c r="K11" s="298"/>
      <c r="L11" s="298"/>
      <c r="M11" s="298"/>
      <c r="N11" s="298"/>
      <c r="O11" s="297"/>
      <c r="P11" s="297"/>
      <c r="Q11" s="297"/>
      <c r="R11" s="297"/>
      <c r="S11" s="298">
        <v>2012</v>
      </c>
    </row>
    <row r="12" spans="1:19" ht="15" customHeight="1">
      <c r="A12" s="297"/>
      <c r="B12" s="692" t="s">
        <v>73</v>
      </c>
      <c r="C12" s="693"/>
      <c r="D12" s="693"/>
      <c r="E12" s="693"/>
      <c r="F12" s="694"/>
      <c r="G12" s="298"/>
      <c r="H12" s="298"/>
      <c r="I12" s="298"/>
      <c r="J12" s="298"/>
      <c r="K12" s="298"/>
      <c r="L12" s="298"/>
      <c r="M12" s="298"/>
      <c r="N12" s="298"/>
      <c r="O12" s="297"/>
      <c r="P12" s="297"/>
      <c r="Q12" s="297"/>
      <c r="R12" s="297"/>
      <c r="S12" s="298">
        <v>2013</v>
      </c>
    </row>
    <row r="13" spans="1:19" ht="15" customHeight="1">
      <c r="A13" s="297"/>
      <c r="B13" s="688" t="s">
        <v>74</v>
      </c>
      <c r="C13" s="677" t="s">
        <v>75</v>
      </c>
      <c r="D13" s="677"/>
      <c r="E13" s="677"/>
      <c r="F13" s="678"/>
      <c r="G13" s="298"/>
      <c r="H13" s="298"/>
      <c r="I13" s="298"/>
      <c r="J13" s="298"/>
      <c r="K13" s="298"/>
      <c r="L13" s="298"/>
      <c r="M13" s="298"/>
      <c r="N13" s="298"/>
      <c r="O13" s="297"/>
      <c r="P13" s="297"/>
      <c r="Q13" s="297"/>
      <c r="R13" s="297"/>
      <c r="S13" s="298">
        <v>2014</v>
      </c>
    </row>
    <row r="14" spans="1:19" ht="15" customHeight="1">
      <c r="A14" s="297"/>
      <c r="B14" s="688"/>
      <c r="C14" s="47" t="s">
        <v>76</v>
      </c>
      <c r="D14" s="48" t="s">
        <v>77</v>
      </c>
      <c r="E14" s="49" t="s">
        <v>78</v>
      </c>
      <c r="F14" s="133" t="s">
        <v>15</v>
      </c>
      <c r="G14" s="298"/>
      <c r="H14" s="298"/>
      <c r="I14" s="298"/>
      <c r="J14" s="298"/>
      <c r="K14" s="298"/>
      <c r="L14" s="298"/>
      <c r="M14" s="298"/>
      <c r="N14" s="298"/>
      <c r="O14" s="297"/>
      <c r="P14" s="297"/>
      <c r="Q14" s="297"/>
      <c r="R14" s="297"/>
      <c r="S14" s="298">
        <v>2015</v>
      </c>
    </row>
    <row r="15" spans="1:19" ht="15" customHeight="1">
      <c r="A15" s="297"/>
      <c r="B15" s="134" t="s">
        <v>79</v>
      </c>
      <c r="C15" s="51"/>
      <c r="D15" s="51"/>
      <c r="E15" s="51"/>
      <c r="F15" s="197"/>
      <c r="G15" s="298"/>
      <c r="H15" s="298"/>
      <c r="I15" s="298"/>
      <c r="J15" s="298"/>
      <c r="K15" s="298"/>
      <c r="L15" s="298"/>
      <c r="M15" s="298"/>
      <c r="N15" s="298"/>
      <c r="O15" s="297"/>
      <c r="P15" s="297"/>
      <c r="Q15" s="297"/>
      <c r="R15" s="297"/>
      <c r="S15" s="298">
        <v>2016</v>
      </c>
    </row>
    <row r="16" spans="1:19" ht="15" customHeight="1">
      <c r="A16" s="297"/>
      <c r="B16" s="135" t="s">
        <v>80</v>
      </c>
      <c r="C16" s="51"/>
      <c r="D16" s="51"/>
      <c r="E16" s="51"/>
      <c r="F16" s="197"/>
      <c r="G16" s="298"/>
      <c r="H16" s="298"/>
      <c r="I16" s="298"/>
      <c r="J16" s="298"/>
      <c r="K16" s="298"/>
      <c r="L16" s="298"/>
      <c r="M16" s="298"/>
      <c r="N16" s="298"/>
      <c r="O16" s="297"/>
      <c r="P16" s="297"/>
      <c r="Q16" s="297"/>
      <c r="R16" s="297"/>
      <c r="S16" s="298">
        <v>2017</v>
      </c>
    </row>
    <row r="17" spans="1:88" ht="15" customHeight="1">
      <c r="A17" s="297"/>
      <c r="B17" s="136" t="s">
        <v>81</v>
      </c>
      <c r="C17" s="51"/>
      <c r="D17" s="51"/>
      <c r="E17" s="51"/>
      <c r="F17" s="197"/>
      <c r="G17" s="298"/>
      <c r="H17" s="298"/>
      <c r="I17" s="298"/>
      <c r="J17" s="298"/>
      <c r="K17" s="298"/>
      <c r="L17" s="298"/>
      <c r="M17" s="298"/>
      <c r="N17" s="298"/>
      <c r="O17" s="297"/>
      <c r="P17" s="297"/>
      <c r="Q17" s="297"/>
      <c r="R17" s="297"/>
      <c r="S17" s="299"/>
    </row>
    <row r="18" spans="1:88" ht="15" customHeight="1">
      <c r="A18" s="297"/>
      <c r="B18" s="134" t="s">
        <v>391</v>
      </c>
      <c r="C18" s="51"/>
      <c r="D18" s="51"/>
      <c r="E18" s="51"/>
      <c r="F18" s="198"/>
      <c r="G18" s="298"/>
      <c r="H18" s="298"/>
      <c r="I18" s="298"/>
      <c r="J18" s="298"/>
      <c r="K18" s="298"/>
      <c r="L18" s="298"/>
      <c r="M18" s="298"/>
      <c r="N18" s="298"/>
      <c r="O18" s="297"/>
      <c r="P18" s="297"/>
      <c r="Q18" s="297"/>
      <c r="R18" s="297"/>
    </row>
    <row r="19" spans="1:88" ht="15" customHeight="1">
      <c r="A19" s="297"/>
      <c r="B19" s="135" t="s">
        <v>82</v>
      </c>
      <c r="C19" s="52"/>
      <c r="D19" s="52"/>
      <c r="E19" s="51"/>
      <c r="F19" s="198"/>
      <c r="G19" s="298"/>
      <c r="H19" s="298"/>
      <c r="I19" s="298"/>
      <c r="J19" s="298"/>
      <c r="K19" s="298"/>
      <c r="L19" s="298"/>
      <c r="M19" s="298"/>
      <c r="N19" s="298"/>
      <c r="O19" s="297"/>
      <c r="P19" s="297"/>
      <c r="Q19" s="297"/>
      <c r="R19" s="297"/>
    </row>
    <row r="20" spans="1:88" ht="15" customHeight="1">
      <c r="A20" s="297"/>
      <c r="B20" s="136" t="s">
        <v>83</v>
      </c>
      <c r="C20" s="52"/>
      <c r="D20" s="52"/>
      <c r="E20" s="51"/>
      <c r="F20" s="197"/>
      <c r="G20" s="298"/>
      <c r="H20" s="298"/>
      <c r="I20" s="298"/>
      <c r="J20" s="298"/>
      <c r="K20" s="298"/>
      <c r="L20" s="298"/>
      <c r="M20" s="298"/>
      <c r="N20" s="298"/>
      <c r="O20" s="297"/>
      <c r="P20" s="297"/>
      <c r="Q20" s="297"/>
      <c r="R20" s="297"/>
    </row>
    <row r="21" spans="1:88" ht="15" customHeight="1">
      <c r="A21" s="297"/>
      <c r="B21" s="199" t="s">
        <v>394</v>
      </c>
      <c r="C21" s="193"/>
      <c r="D21" s="193"/>
      <c r="E21" s="194"/>
      <c r="F21" s="200"/>
      <c r="G21" s="298"/>
      <c r="H21" s="298"/>
      <c r="I21" s="298"/>
      <c r="J21" s="298"/>
      <c r="K21" s="298"/>
      <c r="L21" s="298"/>
      <c r="M21" s="298"/>
      <c r="N21" s="298"/>
      <c r="O21" s="297"/>
      <c r="P21" s="297"/>
      <c r="Q21" s="297"/>
      <c r="R21" s="297"/>
    </row>
    <row r="22" spans="1:88" ht="15" customHeight="1">
      <c r="A22" s="297"/>
      <c r="B22" s="201" t="s">
        <v>84</v>
      </c>
      <c r="C22" s="195"/>
      <c r="D22" s="195"/>
      <c r="E22" s="196"/>
      <c r="F22" s="202"/>
      <c r="G22" s="298"/>
      <c r="H22" s="298"/>
      <c r="I22" s="298"/>
      <c r="J22" s="298"/>
      <c r="K22" s="298"/>
      <c r="L22" s="298"/>
      <c r="M22" s="298"/>
      <c r="N22" s="298"/>
      <c r="O22" s="297"/>
      <c r="P22" s="297"/>
      <c r="Q22" s="297"/>
      <c r="R22" s="297"/>
    </row>
    <row r="23" spans="1:88" ht="15" customHeight="1">
      <c r="A23" s="297"/>
      <c r="B23" s="191" t="s">
        <v>85</v>
      </c>
      <c r="C23" s="196"/>
      <c r="D23" s="196"/>
      <c r="E23" s="195"/>
      <c r="F23" s="202"/>
      <c r="G23" s="298"/>
      <c r="H23" s="298"/>
      <c r="I23" s="298"/>
      <c r="J23" s="298"/>
      <c r="K23" s="298"/>
      <c r="L23" s="298"/>
      <c r="M23" s="298"/>
      <c r="N23" s="298"/>
      <c r="O23" s="297"/>
      <c r="P23" s="297"/>
      <c r="Q23" s="297"/>
      <c r="R23" s="297"/>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row>
    <row r="24" spans="1:88" s="68" customFormat="1" ht="15" customHeight="1" thickBot="1">
      <c r="A24" s="297"/>
      <c r="B24" s="192" t="s">
        <v>361</v>
      </c>
      <c r="C24" s="203"/>
      <c r="D24" s="203"/>
      <c r="E24" s="204"/>
      <c r="F24" s="205"/>
      <c r="G24" s="298"/>
      <c r="H24" s="298"/>
      <c r="I24" s="298"/>
      <c r="J24" s="298"/>
      <c r="K24" s="298"/>
      <c r="L24" s="298"/>
      <c r="M24" s="298"/>
      <c r="N24" s="298"/>
      <c r="O24" s="297"/>
      <c r="P24" s="297"/>
      <c r="Q24" s="297"/>
      <c r="R24" s="297"/>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c r="BW24" s="299"/>
      <c r="BX24" s="299"/>
      <c r="BY24" s="299"/>
      <c r="BZ24" s="299"/>
      <c r="CA24" s="299"/>
      <c r="CB24" s="299"/>
      <c r="CC24" s="299"/>
      <c r="CD24" s="299"/>
    </row>
    <row r="25" spans="1:88" ht="15" customHeight="1">
      <c r="A25" s="297"/>
      <c r="B25" s="298"/>
      <c r="C25" s="298"/>
      <c r="D25" s="298"/>
      <c r="E25" s="298"/>
      <c r="F25" s="298"/>
      <c r="G25" s="298"/>
      <c r="H25" s="298"/>
      <c r="I25" s="298"/>
      <c r="J25" s="298"/>
      <c r="K25" s="298"/>
      <c r="L25" s="298"/>
      <c r="M25" s="298"/>
      <c r="N25" s="298"/>
      <c r="O25" s="297"/>
      <c r="P25" s="297"/>
      <c r="Q25" s="297"/>
      <c r="R25" s="297"/>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row>
    <row r="26" spans="1:88" ht="15" customHeight="1" thickBot="1">
      <c r="A26" s="297"/>
      <c r="B26" s="300"/>
      <c r="C26" s="298"/>
      <c r="D26" s="298"/>
      <c r="E26" s="298"/>
      <c r="F26" s="298"/>
      <c r="G26" s="298"/>
      <c r="H26" s="298"/>
      <c r="I26" s="298"/>
      <c r="J26" s="298"/>
      <c r="K26" s="298"/>
      <c r="L26" s="298"/>
      <c r="M26" s="298"/>
      <c r="N26" s="298"/>
      <c r="O26" s="297"/>
      <c r="P26" s="297"/>
      <c r="Q26" s="297"/>
      <c r="R26" s="297"/>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CB26" s="299"/>
      <c r="CC26" s="299"/>
      <c r="CD26" s="299"/>
      <c r="CF26" s="299" t="s">
        <v>59</v>
      </c>
      <c r="CG26" s="301">
        <f>1000/0.086</f>
        <v>11627.906976744187</v>
      </c>
      <c r="CH26" s="299" t="s">
        <v>21</v>
      </c>
    </row>
    <row r="27" spans="1:88" ht="15.75" customHeight="1">
      <c r="A27" s="297"/>
      <c r="B27" s="689" t="s">
        <v>86</v>
      </c>
      <c r="C27" s="690"/>
      <c r="D27" s="690"/>
      <c r="E27" s="690"/>
      <c r="F27" s="691"/>
      <c r="G27" s="298"/>
      <c r="H27" s="298"/>
      <c r="I27" s="298"/>
      <c r="J27" s="297"/>
      <c r="K27" s="297"/>
      <c r="L27" s="297"/>
      <c r="M27" s="297"/>
      <c r="N27" s="297"/>
      <c r="O27" s="297"/>
      <c r="P27" s="297"/>
      <c r="Q27" s="297"/>
      <c r="R27" s="297"/>
      <c r="S27" s="299"/>
      <c r="T27" s="657" t="s">
        <v>20</v>
      </c>
      <c r="U27" s="658"/>
      <c r="V27" s="658"/>
      <c r="W27" s="658"/>
      <c r="X27" s="658"/>
      <c r="Y27" s="658"/>
      <c r="Z27" s="658"/>
      <c r="AA27" s="658"/>
      <c r="AB27" s="658"/>
      <c r="AC27" s="658"/>
      <c r="AD27" s="658"/>
      <c r="AE27" s="658"/>
      <c r="AF27" s="658"/>
      <c r="AG27" s="658"/>
      <c r="AH27" s="658"/>
      <c r="AI27" s="658"/>
      <c r="AJ27" s="658"/>
      <c r="AK27" s="658"/>
      <c r="AL27" s="658"/>
      <c r="AM27" s="658"/>
      <c r="AN27" s="658"/>
      <c r="AO27" s="658"/>
      <c r="AP27" s="658"/>
      <c r="AQ27" s="658"/>
      <c r="AR27" s="658"/>
      <c r="AS27" s="658"/>
      <c r="AT27" s="658"/>
      <c r="AU27" s="658"/>
      <c r="AV27" s="658"/>
      <c r="AW27" s="658"/>
      <c r="AX27" s="658"/>
      <c r="AY27" s="299"/>
      <c r="AZ27" s="657" t="s">
        <v>58</v>
      </c>
      <c r="BA27" s="658"/>
      <c r="BB27" s="658"/>
      <c r="BC27" s="658"/>
      <c r="BD27" s="658"/>
      <c r="BE27" s="658"/>
      <c r="BF27" s="658"/>
      <c r="BG27" s="658"/>
      <c r="BH27" s="658"/>
      <c r="BI27" s="658"/>
      <c r="BJ27" s="658"/>
      <c r="BK27" s="658"/>
      <c r="BL27" s="658"/>
      <c r="BM27" s="658"/>
      <c r="BN27" s="658"/>
      <c r="BO27" s="658"/>
      <c r="BP27" s="658"/>
      <c r="BQ27" s="658"/>
      <c r="BR27" s="658"/>
      <c r="BS27" s="658"/>
      <c r="BT27" s="658"/>
      <c r="BU27" s="658"/>
      <c r="BV27" s="658"/>
      <c r="BW27" s="658"/>
      <c r="BX27" s="658"/>
      <c r="BY27" s="658"/>
      <c r="BZ27" s="658"/>
      <c r="CA27" s="658"/>
      <c r="CB27" s="658"/>
      <c r="CC27" s="658"/>
      <c r="CD27" s="658"/>
      <c r="CF27" s="299" t="s">
        <v>57</v>
      </c>
    </row>
    <row r="28" spans="1:88" ht="15.75" customHeight="1">
      <c r="A28" s="297"/>
      <c r="B28" s="688" t="s">
        <v>27</v>
      </c>
      <c r="C28" s="677" t="s">
        <v>75</v>
      </c>
      <c r="D28" s="677"/>
      <c r="E28" s="677"/>
      <c r="F28" s="678"/>
      <c r="G28" s="298"/>
      <c r="H28" s="298"/>
      <c r="I28" s="298"/>
      <c r="J28" s="297"/>
      <c r="K28" s="297"/>
      <c r="L28" s="297"/>
      <c r="M28" s="297"/>
      <c r="N28" s="297"/>
      <c r="O28" s="297"/>
      <c r="P28" s="297"/>
      <c r="Q28" s="297"/>
      <c r="R28" s="297"/>
      <c r="S28" s="299"/>
      <c r="T28" s="673" t="s">
        <v>27</v>
      </c>
      <c r="U28" s="655" t="s">
        <v>26</v>
      </c>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6"/>
      <c r="AY28" s="299"/>
      <c r="AZ28" s="673" t="s">
        <v>27</v>
      </c>
      <c r="BA28" s="655" t="s">
        <v>26</v>
      </c>
      <c r="BB28" s="656"/>
      <c r="BC28" s="656"/>
      <c r="BD28" s="656"/>
      <c r="BE28" s="656"/>
      <c r="BF28" s="656"/>
      <c r="BG28" s="656"/>
      <c r="BH28" s="656"/>
      <c r="BI28" s="656"/>
      <c r="BJ28" s="656"/>
      <c r="BK28" s="656"/>
      <c r="BL28" s="656"/>
      <c r="BM28" s="656"/>
      <c r="BN28" s="656"/>
      <c r="BO28" s="656"/>
      <c r="BP28" s="656"/>
      <c r="BQ28" s="656"/>
      <c r="BR28" s="656"/>
      <c r="BS28" s="656"/>
      <c r="BT28" s="656"/>
      <c r="BU28" s="656"/>
      <c r="BV28" s="656"/>
      <c r="BW28" s="656"/>
      <c r="BX28" s="656"/>
      <c r="BY28" s="656"/>
      <c r="BZ28" s="656"/>
      <c r="CA28" s="656"/>
      <c r="CB28" s="656"/>
      <c r="CC28" s="656"/>
      <c r="CD28" s="656"/>
    </row>
    <row r="29" spans="1:88" ht="19.5" customHeight="1">
      <c r="A29" s="300"/>
      <c r="B29" s="688"/>
      <c r="C29" s="47" t="s">
        <v>76</v>
      </c>
      <c r="D29" s="48" t="s">
        <v>77</v>
      </c>
      <c r="E29" s="49" t="s">
        <v>78</v>
      </c>
      <c r="F29" s="133" t="s">
        <v>15</v>
      </c>
      <c r="G29" s="598" t="s">
        <v>420</v>
      </c>
      <c r="H29" s="298"/>
      <c r="I29" s="298"/>
      <c r="J29" s="297"/>
      <c r="K29" s="297"/>
      <c r="L29" s="297"/>
      <c r="M29" s="297"/>
      <c r="N29" s="297"/>
      <c r="O29" s="297"/>
      <c r="P29" s="297"/>
      <c r="Q29" s="297"/>
      <c r="R29" s="297"/>
      <c r="S29" s="299"/>
      <c r="T29" s="673"/>
      <c r="U29" s="667" t="s">
        <v>18</v>
      </c>
      <c r="V29" s="668"/>
      <c r="W29" s="668"/>
      <c r="X29" s="668"/>
      <c r="Y29" s="668"/>
      <c r="Z29" s="669"/>
      <c r="AA29" s="670" t="s">
        <v>49</v>
      </c>
      <c r="AB29" s="671"/>
      <c r="AC29" s="671"/>
      <c r="AD29" s="671"/>
      <c r="AE29" s="671"/>
      <c r="AF29" s="672"/>
      <c r="AG29" s="674" t="s">
        <v>19</v>
      </c>
      <c r="AH29" s="675"/>
      <c r="AI29" s="675"/>
      <c r="AJ29" s="675"/>
      <c r="AK29" s="675"/>
      <c r="AL29" s="676"/>
      <c r="AM29" s="665" t="s">
        <v>15</v>
      </c>
      <c r="AN29" s="666"/>
      <c r="AO29" s="666"/>
      <c r="AP29" s="666"/>
      <c r="AQ29" s="666"/>
      <c r="AR29" s="666"/>
      <c r="AS29" s="654" t="s">
        <v>420</v>
      </c>
      <c r="AT29" s="654"/>
      <c r="AU29" s="654"/>
      <c r="AV29" s="654"/>
      <c r="AW29" s="654"/>
      <c r="AX29" s="654"/>
      <c r="AY29" s="299"/>
      <c r="AZ29" s="673"/>
      <c r="BA29" s="667" t="s">
        <v>18</v>
      </c>
      <c r="BB29" s="668"/>
      <c r="BC29" s="668"/>
      <c r="BD29" s="668"/>
      <c r="BE29" s="668"/>
      <c r="BF29" s="669"/>
      <c r="BG29" s="670" t="s">
        <v>49</v>
      </c>
      <c r="BH29" s="671"/>
      <c r="BI29" s="671"/>
      <c r="BJ29" s="671"/>
      <c r="BK29" s="671"/>
      <c r="BL29" s="672"/>
      <c r="BM29" s="674" t="s">
        <v>19</v>
      </c>
      <c r="BN29" s="675"/>
      <c r="BO29" s="675"/>
      <c r="BP29" s="675"/>
      <c r="BQ29" s="675"/>
      <c r="BR29" s="676"/>
      <c r="BS29" s="665" t="s">
        <v>15</v>
      </c>
      <c r="BT29" s="666"/>
      <c r="BU29" s="666"/>
      <c r="BV29" s="666"/>
      <c r="BW29" s="666"/>
      <c r="BX29" s="666"/>
      <c r="BY29" s="654" t="s">
        <v>420</v>
      </c>
      <c r="BZ29" s="654"/>
      <c r="CA29" s="654"/>
      <c r="CB29" s="654"/>
      <c r="CC29" s="654"/>
      <c r="CD29" s="654"/>
      <c r="CF29" s="299"/>
      <c r="CG29" s="299"/>
      <c r="CH29" s="299"/>
      <c r="CI29" s="299"/>
      <c r="CJ29" s="299"/>
    </row>
    <row r="30" spans="1:88" ht="15.75">
      <c r="A30" s="300"/>
      <c r="B30" s="688"/>
      <c r="C30" s="55">
        <f>IF($C$7&lt;=2010,2010,(IF($C$7=2011,2011,(IF($C$7=2012,2012,(IF($C$7=2013,2013,(IF($C$7=2014,2014,(IF($C$7=2015,2015,(IF($C$7&gt;2015,2015)))))))))))))</f>
        <v>2013</v>
      </c>
      <c r="D30" s="55">
        <f t="shared" ref="D30:G30" si="0">IF($C$7&lt;=2010,2010,(IF($C$7=2011,2011,(IF($C$7=2012,2012,(IF($C$7=2013,2013,(IF($C$7=2014,2014,(IF($C$7=2015,2015,(IF($C$7&gt;2015,2015)))))))))))))</f>
        <v>2013</v>
      </c>
      <c r="E30" s="55">
        <f t="shared" si="0"/>
        <v>2013</v>
      </c>
      <c r="F30" s="190">
        <f t="shared" si="0"/>
        <v>2013</v>
      </c>
      <c r="G30" s="604">
        <f t="shared" si="0"/>
        <v>2013</v>
      </c>
      <c r="H30" s="298"/>
      <c r="I30" s="298"/>
      <c r="J30" s="297"/>
      <c r="K30" s="297"/>
      <c r="L30" s="297"/>
      <c r="M30" s="297"/>
      <c r="N30" s="297"/>
      <c r="O30" s="297"/>
      <c r="P30" s="297"/>
      <c r="Q30" s="297"/>
      <c r="R30" s="297"/>
      <c r="S30" s="299"/>
      <c r="T30" s="673"/>
      <c r="U30" s="32">
        <v>2010</v>
      </c>
      <c r="V30" s="32">
        <v>2011</v>
      </c>
      <c r="W30" s="32">
        <v>2012</v>
      </c>
      <c r="X30" s="32">
        <v>2013</v>
      </c>
      <c r="Y30" s="32">
        <v>2014</v>
      </c>
      <c r="Z30" s="156">
        <v>2015</v>
      </c>
      <c r="AA30" s="32">
        <v>2010</v>
      </c>
      <c r="AB30" s="32">
        <v>2011</v>
      </c>
      <c r="AC30" s="32">
        <v>2012</v>
      </c>
      <c r="AD30" s="32">
        <v>2013</v>
      </c>
      <c r="AE30" s="32">
        <v>2014</v>
      </c>
      <c r="AF30" s="156">
        <v>2015</v>
      </c>
      <c r="AG30" s="32">
        <v>2010</v>
      </c>
      <c r="AH30" s="32">
        <v>2011</v>
      </c>
      <c r="AI30" s="32">
        <v>2012</v>
      </c>
      <c r="AJ30" s="32">
        <v>2013</v>
      </c>
      <c r="AK30" s="32">
        <v>2014</v>
      </c>
      <c r="AL30" s="156">
        <v>2015</v>
      </c>
      <c r="AM30" s="32">
        <v>2010</v>
      </c>
      <c r="AN30" s="32">
        <v>2011</v>
      </c>
      <c r="AO30" s="32">
        <v>2012</v>
      </c>
      <c r="AP30" s="32">
        <v>2013</v>
      </c>
      <c r="AQ30" s="32">
        <v>2014</v>
      </c>
      <c r="AR30" s="32">
        <v>2015</v>
      </c>
      <c r="AS30" s="32">
        <v>2010</v>
      </c>
      <c r="AT30" s="32">
        <v>2011</v>
      </c>
      <c r="AU30" s="32">
        <v>2012</v>
      </c>
      <c r="AV30" s="32">
        <v>2013</v>
      </c>
      <c r="AW30" s="32">
        <v>2014</v>
      </c>
      <c r="AX30" s="32">
        <v>2015</v>
      </c>
      <c r="AY30" s="299"/>
      <c r="AZ30" s="673"/>
      <c r="BA30" s="32">
        <v>2010</v>
      </c>
      <c r="BB30" s="32">
        <v>2011</v>
      </c>
      <c r="BC30" s="32">
        <v>2012</v>
      </c>
      <c r="BD30" s="32">
        <v>2013</v>
      </c>
      <c r="BE30" s="32">
        <v>2014</v>
      </c>
      <c r="BF30" s="156">
        <v>2015</v>
      </c>
      <c r="BG30" s="32">
        <v>2010</v>
      </c>
      <c r="BH30" s="32">
        <v>2011</v>
      </c>
      <c r="BI30" s="32">
        <v>2012</v>
      </c>
      <c r="BJ30" s="32">
        <v>2013</v>
      </c>
      <c r="BK30" s="32">
        <v>2014</v>
      </c>
      <c r="BL30" s="156">
        <v>2015</v>
      </c>
      <c r="BM30" s="32">
        <v>2010</v>
      </c>
      <c r="BN30" s="32">
        <v>2011</v>
      </c>
      <c r="BO30" s="32">
        <v>2012</v>
      </c>
      <c r="BP30" s="32">
        <v>2013</v>
      </c>
      <c r="BQ30" s="32">
        <v>2014</v>
      </c>
      <c r="BR30" s="156">
        <v>2015</v>
      </c>
      <c r="BS30" s="32">
        <v>2010</v>
      </c>
      <c r="BT30" s="32">
        <v>2011</v>
      </c>
      <c r="BU30" s="32">
        <v>2012</v>
      </c>
      <c r="BV30" s="32">
        <v>2013</v>
      </c>
      <c r="BW30" s="32">
        <v>2014</v>
      </c>
      <c r="BX30" s="32">
        <v>2015</v>
      </c>
      <c r="BY30" s="32">
        <v>2010</v>
      </c>
      <c r="BZ30" s="32">
        <v>2011</v>
      </c>
      <c r="CA30" s="32">
        <v>2012</v>
      </c>
      <c r="CB30" s="32">
        <v>2013</v>
      </c>
      <c r="CC30" s="32">
        <v>2014</v>
      </c>
      <c r="CD30" s="32">
        <v>2015</v>
      </c>
      <c r="CE30" s="299"/>
      <c r="CF30" s="299"/>
      <c r="CG30" s="299"/>
      <c r="CH30" s="299"/>
      <c r="CI30" s="299"/>
      <c r="CJ30" s="299"/>
    </row>
    <row r="31" spans="1:88">
      <c r="A31" s="297"/>
      <c r="B31" s="134" t="s">
        <v>79</v>
      </c>
      <c r="C31" s="56">
        <f t="shared" ref="C31:C40" si="1">IF(C15=0, (IF($C$30=2010, U31, (IF($C$30=2011,V31, (IF($C$30=2012, W31, (IF($C$30=2013,X31,(IF($C$30=2014,Y31, Z31)))))))))), C15)</f>
        <v>4294100</v>
      </c>
      <c r="D31" s="56">
        <f t="shared" ref="D31:D40" si="2">IF(D15=0, (IF($D$30=2010, AA31, (IF($D$30=2011,AB31, (IF($D$30=2012, AC31, (IF($D$30=2013,AD31,(IF($D$30=2014, AE31, AF31)))))))))), D15)</f>
        <v>5037300.0000000009</v>
      </c>
      <c r="E31" s="56">
        <f t="shared" ref="E31:E40" si="3">IF(E15=0, (IF($E$30=2010, AG31, (IF($E$30=2011,AH31, (IF($E$30=2012, AI31, (IF($E$30=2013,AJ31,(IF($E$30=2014, AK31,AL31)))))))))), E15)</f>
        <v>5302600.0000000019</v>
      </c>
      <c r="F31" s="599">
        <f t="shared" ref="F31:F40" si="4">IF(F15=0, (IF($F$30=2010, AM31, (IF($F$30=2011,AN31, (IF($F$30=2012, AO31, (IF($F$30=2013,AP31,(IF($F$30=2014,AQ31,AR31)))))))))), F15)</f>
        <v>93000</v>
      </c>
      <c r="G31" s="659" t="s">
        <v>421</v>
      </c>
      <c r="H31" s="298"/>
      <c r="I31" s="298"/>
      <c r="J31" s="297"/>
      <c r="K31" s="297"/>
      <c r="L31" s="297"/>
      <c r="M31" s="297"/>
      <c r="N31" s="297"/>
      <c r="O31" s="297"/>
      <c r="P31" s="297"/>
      <c r="Q31" s="297"/>
      <c r="R31" s="297"/>
      <c r="S31" s="299"/>
      <c r="T31" s="33" t="s">
        <v>23</v>
      </c>
      <c r="U31" s="31">
        <f t="shared" ref="U31:AX31" si="5">BA31*$CG$26</f>
        <v>3722900.0000000005</v>
      </c>
      <c r="V31" s="31">
        <f t="shared" si="5"/>
        <v>3919599.9999999995</v>
      </c>
      <c r="W31" s="31">
        <f t="shared" si="5"/>
        <v>4235800</v>
      </c>
      <c r="X31" s="31">
        <f t="shared" si="5"/>
        <v>4294100</v>
      </c>
      <c r="Y31" s="31">
        <f t="shared" si="5"/>
        <v>4494800</v>
      </c>
      <c r="Z31" s="115">
        <f t="shared" si="5"/>
        <v>4651162.7906976752</v>
      </c>
      <c r="AA31" s="31">
        <f t="shared" si="5"/>
        <v>4629399.9999999981</v>
      </c>
      <c r="AB31" s="31">
        <f t="shared" si="5"/>
        <v>4452199.9999999991</v>
      </c>
      <c r="AC31" s="31">
        <f t="shared" si="5"/>
        <v>4940980.0000000009</v>
      </c>
      <c r="AD31" s="31">
        <f t="shared" si="5"/>
        <v>5037300.0000000009</v>
      </c>
      <c r="AE31" s="31">
        <f t="shared" si="5"/>
        <v>4136643.9999999995</v>
      </c>
      <c r="AF31" s="115">
        <f t="shared" si="5"/>
        <v>5209302.325581396</v>
      </c>
      <c r="AG31" s="31">
        <f t="shared" si="5"/>
        <v>5121000</v>
      </c>
      <c r="AH31" s="31">
        <f t="shared" si="5"/>
        <v>4779899.9999999991</v>
      </c>
      <c r="AI31" s="31">
        <f t="shared" si="5"/>
        <v>5113800</v>
      </c>
      <c r="AJ31" s="31">
        <f t="shared" si="5"/>
        <v>5302600.0000000019</v>
      </c>
      <c r="AK31" s="31">
        <f t="shared" si="5"/>
        <v>5445464</v>
      </c>
      <c r="AL31" s="115">
        <f t="shared" si="5"/>
        <v>5476744.1860465119</v>
      </c>
      <c r="AM31" s="594">
        <f t="shared" si="5"/>
        <v>77699.999999999985</v>
      </c>
      <c r="AN31" s="115">
        <f t="shared" si="5"/>
        <v>87200.000000000015</v>
      </c>
      <c r="AO31" s="115">
        <f t="shared" si="5"/>
        <v>96000.000000000015</v>
      </c>
      <c r="AP31" s="592">
        <f t="shared" si="5"/>
        <v>93000</v>
      </c>
      <c r="AQ31" s="592">
        <f t="shared" si="5"/>
        <v>93200.000000000015</v>
      </c>
      <c r="AR31" s="592">
        <f t="shared" si="5"/>
        <v>93023.255813953496</v>
      </c>
      <c r="AS31" s="592">
        <f t="shared" si="5"/>
        <v>860465.1162790698</v>
      </c>
      <c r="AT31" s="592">
        <f t="shared" si="5"/>
        <v>837209.30232558143</v>
      </c>
      <c r="AU31" s="592">
        <f t="shared" si="5"/>
        <v>906976.74418604653</v>
      </c>
      <c r="AV31" s="592">
        <f t="shared" si="5"/>
        <v>1011627.9069767443</v>
      </c>
      <c r="AW31" s="592">
        <f t="shared" si="5"/>
        <v>1023255.8139534885</v>
      </c>
      <c r="AX31" s="592">
        <f t="shared" si="5"/>
        <v>1046511.6279069768</v>
      </c>
      <c r="AY31" s="299"/>
      <c r="AZ31" s="114" t="s">
        <v>50</v>
      </c>
      <c r="BA31" s="115">
        <v>320.1694</v>
      </c>
      <c r="BB31" s="115">
        <v>337.08559999999994</v>
      </c>
      <c r="BC31" s="115">
        <v>364.27879999999999</v>
      </c>
      <c r="BD31" s="115">
        <v>369.29259999999999</v>
      </c>
      <c r="BE31" s="115">
        <v>386.55279999999999</v>
      </c>
      <c r="BF31" s="115">
        <v>400</v>
      </c>
      <c r="BG31" s="115">
        <v>398.12839999999983</v>
      </c>
      <c r="BH31" s="115">
        <v>382.8891999999999</v>
      </c>
      <c r="BI31" s="115">
        <v>424.92428000000001</v>
      </c>
      <c r="BJ31" s="115">
        <v>433.20780000000002</v>
      </c>
      <c r="BK31" s="115">
        <v>355.75138399999992</v>
      </c>
      <c r="BL31" s="115">
        <f>848-BF31</f>
        <v>448</v>
      </c>
      <c r="BM31" s="115">
        <v>440.40599999999995</v>
      </c>
      <c r="BN31" s="115">
        <v>411.07139999999993</v>
      </c>
      <c r="BO31" s="115">
        <v>439.78679999999997</v>
      </c>
      <c r="BP31" s="115">
        <v>456.0236000000001</v>
      </c>
      <c r="BQ31" s="116">
        <v>468.30990399999996</v>
      </c>
      <c r="BR31" s="116">
        <v>471</v>
      </c>
      <c r="BS31" s="116">
        <v>6.6821999999999981</v>
      </c>
      <c r="BT31" s="115">
        <v>7.4992000000000001</v>
      </c>
      <c r="BU31" s="115">
        <v>8.2560000000000002</v>
      </c>
      <c r="BV31" s="303">
        <v>7.9979999999999993</v>
      </c>
      <c r="BW31" s="303">
        <v>8.0152000000000001</v>
      </c>
      <c r="BX31" s="303">
        <v>8</v>
      </c>
      <c r="BY31" s="302">
        <v>74</v>
      </c>
      <c r="BZ31" s="302">
        <v>72</v>
      </c>
      <c r="CA31" s="302">
        <v>78</v>
      </c>
      <c r="CB31" s="302">
        <v>87</v>
      </c>
      <c r="CC31" s="302">
        <v>88</v>
      </c>
      <c r="CD31" s="302">
        <v>90</v>
      </c>
      <c r="CE31" s="299"/>
      <c r="CF31" s="299"/>
      <c r="CG31" s="299"/>
      <c r="CH31" s="299"/>
      <c r="CI31" s="299"/>
      <c r="CJ31" s="299"/>
    </row>
    <row r="32" spans="1:88">
      <c r="A32" s="297"/>
      <c r="B32" s="135" t="s">
        <v>80</v>
      </c>
      <c r="C32" s="57">
        <f t="shared" si="1"/>
        <v>2334924.4186046519</v>
      </c>
      <c r="D32" s="57">
        <f t="shared" si="2"/>
        <v>2137758.3090043794</v>
      </c>
      <c r="E32" s="57">
        <f t="shared" si="3"/>
        <v>10357797.594519537</v>
      </c>
      <c r="F32" s="600">
        <f t="shared" si="4"/>
        <v>2016160.5036218537</v>
      </c>
      <c r="G32" s="660"/>
      <c r="H32" s="298"/>
      <c r="I32" s="298"/>
      <c r="J32" s="297"/>
      <c r="K32" s="297"/>
      <c r="L32" s="297"/>
      <c r="M32" s="297"/>
      <c r="N32" s="297"/>
      <c r="O32" s="297"/>
      <c r="P32" s="297"/>
      <c r="Q32" s="297"/>
      <c r="R32" s="297"/>
      <c r="S32" s="299"/>
      <c r="T32" s="34" t="s">
        <v>47</v>
      </c>
      <c r="U32" s="39">
        <f t="shared" ref="U32:AD35" si="6">BA32*$CG$26</f>
        <v>1930813.9534883723</v>
      </c>
      <c r="V32" s="39">
        <f t="shared" si="6"/>
        <v>2303372.0930232559</v>
      </c>
      <c r="W32" s="39">
        <f t="shared" si="6"/>
        <v>2143988.3720930237</v>
      </c>
      <c r="X32" s="39">
        <f t="shared" si="6"/>
        <v>2334924.4186046519</v>
      </c>
      <c r="Y32" s="39">
        <f t="shared" si="6"/>
        <v>2412941.8604651163</v>
      </c>
      <c r="Z32" s="115">
        <f t="shared" si="6"/>
        <v>2511627.9069767445</v>
      </c>
      <c r="AA32" s="39">
        <f t="shared" si="6"/>
        <v>1707906.9767441868</v>
      </c>
      <c r="AB32" s="39">
        <f t="shared" si="6"/>
        <v>1587558.1395348846</v>
      </c>
      <c r="AC32" s="39">
        <f t="shared" si="6"/>
        <v>1981942.08372736</v>
      </c>
      <c r="AD32" s="39">
        <f t="shared" si="6"/>
        <v>2137758.3090043794</v>
      </c>
      <c r="AE32" s="39">
        <f t="shared" ref="AE32:AN35" si="7">BK32*$CG$26</f>
        <v>1966544.4220040396</v>
      </c>
      <c r="AF32" s="115">
        <f t="shared" si="7"/>
        <v>2209302.3255813955</v>
      </c>
      <c r="AG32" s="39">
        <f t="shared" si="7"/>
        <v>9419157.6531224418</v>
      </c>
      <c r="AH32" s="39">
        <f t="shared" si="7"/>
        <v>9232623.7567237914</v>
      </c>
      <c r="AI32" s="39">
        <f t="shared" si="7"/>
        <v>10376450.55762003</v>
      </c>
      <c r="AJ32" s="39">
        <f t="shared" si="7"/>
        <v>10357797.594519537</v>
      </c>
      <c r="AK32" s="39">
        <f t="shared" si="7"/>
        <v>9777265.6091903485</v>
      </c>
      <c r="AL32" s="115">
        <f t="shared" si="7"/>
        <v>9267441.8604651168</v>
      </c>
      <c r="AM32" s="595">
        <f t="shared" si="7"/>
        <v>4276575.1279769642</v>
      </c>
      <c r="AN32" s="159">
        <f t="shared" si="7"/>
        <v>3393501.327570505</v>
      </c>
      <c r="AO32" s="159">
        <f t="shared" ref="AO32:AR35" si="8">BU32*$CG$26</f>
        <v>3257624.1051335111</v>
      </c>
      <c r="AP32" s="593">
        <f t="shared" si="8"/>
        <v>2016160.5036218537</v>
      </c>
      <c r="AQ32" s="593">
        <f t="shared" si="8"/>
        <v>1005784.7387470257</v>
      </c>
      <c r="AR32" s="593">
        <f t="shared" si="8"/>
        <v>988372.09302325593</v>
      </c>
      <c r="AS32" s="593">
        <f t="shared" ref="AS32:AS40" si="9">BY32*$CG$26</f>
        <v>69767.441860465129</v>
      </c>
      <c r="AT32" s="593">
        <f t="shared" ref="AT32:AT40" si="10">BZ32*$CG$26</f>
        <v>69767.441860465129</v>
      </c>
      <c r="AU32" s="593">
        <f t="shared" ref="AU32:AU40" si="11">CA32*$CG$26</f>
        <v>69767.441860465129</v>
      </c>
      <c r="AV32" s="593">
        <f t="shared" ref="AV32:AV40" si="12">CB32*$CG$26</f>
        <v>151162.79069767444</v>
      </c>
      <c r="AW32" s="593">
        <f t="shared" ref="AW32:AW40" si="13">CC32*$CG$26</f>
        <v>220930.23255813954</v>
      </c>
      <c r="AX32" s="593">
        <f t="shared" ref="AX32:AX40" si="14">CD32*$CG$26</f>
        <v>232558.13953488372</v>
      </c>
      <c r="AY32" s="299"/>
      <c r="AZ32" s="113" t="s">
        <v>51</v>
      </c>
      <c r="BA32" s="119">
        <v>166.05</v>
      </c>
      <c r="BB32" s="119">
        <v>198.09</v>
      </c>
      <c r="BC32" s="119">
        <v>184.38300000000001</v>
      </c>
      <c r="BD32" s="119">
        <v>200.80350000000004</v>
      </c>
      <c r="BE32" s="119">
        <v>207.51300000000001</v>
      </c>
      <c r="BF32" s="119">
        <v>216</v>
      </c>
      <c r="BG32" s="119">
        <v>146.88000000000005</v>
      </c>
      <c r="BH32" s="119">
        <v>136.53000000000006</v>
      </c>
      <c r="BI32" s="119">
        <v>170.44701920055294</v>
      </c>
      <c r="BJ32" s="119">
        <v>183.84721457437661</v>
      </c>
      <c r="BK32" s="119">
        <v>169.1228202923474</v>
      </c>
      <c r="BL32" s="119">
        <f>406-BF32</f>
        <v>190</v>
      </c>
      <c r="BM32" s="119">
        <v>810.04755816852992</v>
      </c>
      <c r="BN32" s="119">
        <v>794.00564307824595</v>
      </c>
      <c r="BO32" s="119">
        <v>892.3747479553225</v>
      </c>
      <c r="BP32" s="119">
        <v>890.77059312868005</v>
      </c>
      <c r="BQ32" s="119">
        <v>840.84484239036988</v>
      </c>
      <c r="BR32" s="119">
        <v>797</v>
      </c>
      <c r="BS32" s="158">
        <v>367.78546100601892</v>
      </c>
      <c r="BT32" s="159">
        <v>291.8411141710634</v>
      </c>
      <c r="BU32" s="159">
        <v>280.15567304148192</v>
      </c>
      <c r="BV32" s="119">
        <v>173.3898033114794</v>
      </c>
      <c r="BW32" s="119">
        <v>86.497487532244207</v>
      </c>
      <c r="BX32" s="119">
        <v>85</v>
      </c>
      <c r="BY32" s="215">
        <v>6</v>
      </c>
      <c r="BZ32" s="215">
        <v>6</v>
      </c>
      <c r="CA32" s="215">
        <v>6</v>
      </c>
      <c r="CB32" s="215">
        <v>13</v>
      </c>
      <c r="CC32" s="215">
        <v>19</v>
      </c>
      <c r="CD32" s="215">
        <v>20</v>
      </c>
      <c r="CE32" s="299"/>
      <c r="CF32" s="299"/>
      <c r="CG32" s="299"/>
      <c r="CH32" s="299"/>
      <c r="CI32" s="299"/>
      <c r="CJ32" s="299"/>
    </row>
    <row r="33" spans="1:88">
      <c r="A33" s="297"/>
      <c r="B33" s="136" t="s">
        <v>81</v>
      </c>
      <c r="C33" s="58">
        <f t="shared" si="1"/>
        <v>5373606.9552758373</v>
      </c>
      <c r="D33" s="58">
        <f t="shared" si="2"/>
        <v>581343.36940465181</v>
      </c>
      <c r="E33" s="58">
        <f t="shared" si="3"/>
        <v>407225.21004069771</v>
      </c>
      <c r="F33" s="601">
        <f t="shared" si="4"/>
        <v>214731.18604651172</v>
      </c>
      <c r="G33" s="660"/>
      <c r="H33" s="298"/>
      <c r="I33" s="298"/>
      <c r="J33" s="297"/>
      <c r="K33" s="297"/>
      <c r="L33" s="297"/>
      <c r="M33" s="297"/>
      <c r="N33" s="297"/>
      <c r="O33" s="297"/>
      <c r="P33" s="297"/>
      <c r="Q33" s="297"/>
      <c r="R33" s="297"/>
      <c r="S33" s="299"/>
      <c r="T33" s="35" t="s">
        <v>24</v>
      </c>
      <c r="U33" s="30">
        <f t="shared" si="6"/>
        <v>4665374.2116279071</v>
      </c>
      <c r="V33" s="30">
        <f t="shared" si="6"/>
        <v>4693031.8298020409</v>
      </c>
      <c r="W33" s="30">
        <f t="shared" si="6"/>
        <v>4915557.1108774291</v>
      </c>
      <c r="X33" s="30">
        <f t="shared" si="6"/>
        <v>5373606.9552758373</v>
      </c>
      <c r="Y33" s="30">
        <f t="shared" si="6"/>
        <v>5372606.7423808435</v>
      </c>
      <c r="Z33" s="115">
        <f t="shared" si="6"/>
        <v>5755813.9534883723</v>
      </c>
      <c r="AA33" s="30">
        <f t="shared" si="6"/>
        <v>655972.45813953481</v>
      </c>
      <c r="AB33" s="30">
        <f t="shared" si="6"/>
        <v>630700.63780173578</v>
      </c>
      <c r="AC33" s="30">
        <f t="shared" si="6"/>
        <v>605184.65134536207</v>
      </c>
      <c r="AD33" s="30">
        <f t="shared" si="6"/>
        <v>581343.36940465181</v>
      </c>
      <c r="AE33" s="30">
        <f t="shared" si="7"/>
        <v>558405.48659824324</v>
      </c>
      <c r="AF33" s="115">
        <f t="shared" si="7"/>
        <v>546511.62790697673</v>
      </c>
      <c r="AG33" s="30">
        <f t="shared" si="7"/>
        <v>398487.94186046522</v>
      </c>
      <c r="AH33" s="30">
        <f t="shared" si="7"/>
        <v>447362.2946402104</v>
      </c>
      <c r="AI33" s="30">
        <f t="shared" si="7"/>
        <v>424691.76005232567</v>
      </c>
      <c r="AJ33" s="30">
        <f t="shared" si="7"/>
        <v>407225.21004069771</v>
      </c>
      <c r="AK33" s="30">
        <f t="shared" si="7"/>
        <v>387167.65890697687</v>
      </c>
      <c r="AL33" s="115">
        <f t="shared" si="7"/>
        <v>325581.39534883725</v>
      </c>
      <c r="AM33" s="121">
        <f t="shared" si="7"/>
        <v>410749.10930232564</v>
      </c>
      <c r="AN33" s="121">
        <f t="shared" si="7"/>
        <v>308998.77263973485</v>
      </c>
      <c r="AO33" s="121">
        <f t="shared" si="8"/>
        <v>295546.3488372094</v>
      </c>
      <c r="AP33" s="122">
        <f t="shared" si="8"/>
        <v>214731.18604651172</v>
      </c>
      <c r="AQ33" s="122">
        <f t="shared" si="8"/>
        <v>236715.95403094194</v>
      </c>
      <c r="AR33" s="122">
        <f t="shared" si="8"/>
        <v>197674.41860465117</v>
      </c>
      <c r="AS33" s="314">
        <f t="shared" si="9"/>
        <v>0</v>
      </c>
      <c r="AT33" s="314">
        <f t="shared" si="10"/>
        <v>0</v>
      </c>
      <c r="AU33" s="314">
        <f t="shared" si="11"/>
        <v>0</v>
      </c>
      <c r="AV33" s="314">
        <f t="shared" si="12"/>
        <v>0</v>
      </c>
      <c r="AW33" s="314">
        <f t="shared" si="13"/>
        <v>0</v>
      </c>
      <c r="AX33" s="314">
        <f t="shared" si="14"/>
        <v>0</v>
      </c>
      <c r="AY33" s="299"/>
      <c r="AZ33" s="120" t="s">
        <v>55</v>
      </c>
      <c r="BA33" s="121">
        <v>401.22218220000002</v>
      </c>
      <c r="BB33" s="121">
        <v>403.60073736297551</v>
      </c>
      <c r="BC33" s="121">
        <v>422.73791153545886</v>
      </c>
      <c r="BD33" s="121">
        <v>462.13019815372201</v>
      </c>
      <c r="BE33" s="121">
        <v>462.04417984475248</v>
      </c>
      <c r="BF33" s="121">
        <v>495</v>
      </c>
      <c r="BG33" s="121">
        <v>56.413631399999986</v>
      </c>
      <c r="BH33" s="121">
        <v>54.24025485094927</v>
      </c>
      <c r="BI33" s="121">
        <v>52.04588001570113</v>
      </c>
      <c r="BJ33" s="121">
        <v>49.995529768800054</v>
      </c>
      <c r="BK33" s="121">
        <v>48.022871847448911</v>
      </c>
      <c r="BL33" s="121">
        <f>542-BF33</f>
        <v>47</v>
      </c>
      <c r="BM33" s="121">
        <v>34.269963000000004</v>
      </c>
      <c r="BN33" s="121">
        <v>38.473157339058091</v>
      </c>
      <c r="BO33" s="121">
        <v>36.523491364500003</v>
      </c>
      <c r="BP33" s="121">
        <v>35.021368063499999</v>
      </c>
      <c r="BQ33" s="122">
        <v>33.296418666000008</v>
      </c>
      <c r="BR33" s="122">
        <v>28</v>
      </c>
      <c r="BS33" s="121">
        <v>35.324423400000001</v>
      </c>
      <c r="BT33" s="121">
        <v>26.573894447017192</v>
      </c>
      <c r="BU33" s="121">
        <v>25.416986000000005</v>
      </c>
      <c r="BV33" s="304">
        <v>18.466882000000005</v>
      </c>
      <c r="BW33" s="304">
        <v>20.357572046661005</v>
      </c>
      <c r="BX33" s="304">
        <v>17</v>
      </c>
      <c r="BY33" s="307"/>
      <c r="BZ33" s="307"/>
      <c r="CA33" s="307"/>
      <c r="CB33" s="307"/>
      <c r="CC33" s="307"/>
      <c r="CD33" s="307"/>
      <c r="CE33" s="305">
        <f>[2]Residentiel!$B$6/1000</f>
        <v>12.860465116279071</v>
      </c>
      <c r="CF33" s="299"/>
      <c r="CG33" s="299"/>
      <c r="CH33" s="299"/>
      <c r="CI33" s="299"/>
      <c r="CJ33" s="299"/>
    </row>
    <row r="34" spans="1:88">
      <c r="A34" s="297"/>
      <c r="B34" s="134" t="s">
        <v>391</v>
      </c>
      <c r="C34" s="56">
        <f t="shared" si="1"/>
        <v>59922.841253957733</v>
      </c>
      <c r="D34" s="56">
        <f t="shared" si="2"/>
        <v>595216.73577642452</v>
      </c>
      <c r="E34" s="56">
        <f t="shared" si="3"/>
        <v>657826.23596173956</v>
      </c>
      <c r="F34" s="599">
        <f t="shared" si="4"/>
        <v>15223437.366234794</v>
      </c>
      <c r="G34" s="660"/>
      <c r="H34" s="298"/>
      <c r="I34" s="298"/>
      <c r="J34" s="297"/>
      <c r="K34" s="297"/>
      <c r="L34" s="297"/>
      <c r="M34" s="297"/>
      <c r="N34" s="297"/>
      <c r="O34" s="297"/>
      <c r="P34" s="297"/>
      <c r="Q34" s="297"/>
      <c r="R34" s="297"/>
      <c r="S34" s="299"/>
      <c r="T34" s="33" t="s">
        <v>391</v>
      </c>
      <c r="U34" s="31">
        <f t="shared" si="6"/>
        <v>65949.035395746963</v>
      </c>
      <c r="V34" s="31">
        <f t="shared" si="6"/>
        <v>58983.269715077251</v>
      </c>
      <c r="W34" s="31">
        <f t="shared" si="6"/>
        <v>60022.77935241619</v>
      </c>
      <c r="X34" s="31">
        <f t="shared" si="6"/>
        <v>59922.841253957733</v>
      </c>
      <c r="Y34" s="31">
        <f t="shared" si="6"/>
        <v>66317.083010413597</v>
      </c>
      <c r="Z34" s="115">
        <f t="shared" si="6"/>
        <v>69767.441860465129</v>
      </c>
      <c r="AA34" s="31">
        <f t="shared" si="6"/>
        <v>627887.69709644315</v>
      </c>
      <c r="AB34" s="31">
        <f t="shared" si="6"/>
        <v>566123.49399645929</v>
      </c>
      <c r="AC34" s="31">
        <f t="shared" si="6"/>
        <v>553329.53531372827</v>
      </c>
      <c r="AD34" s="31">
        <f t="shared" si="6"/>
        <v>595216.73577642452</v>
      </c>
      <c r="AE34" s="31">
        <f t="shared" si="7"/>
        <v>636858.3481491647</v>
      </c>
      <c r="AF34" s="115">
        <f t="shared" si="7"/>
        <v>720930.2325581396</v>
      </c>
      <c r="AG34" s="31">
        <f t="shared" si="7"/>
        <v>725439.38935321674</v>
      </c>
      <c r="AH34" s="31">
        <f t="shared" si="7"/>
        <v>656854.87335031922</v>
      </c>
      <c r="AI34" s="31">
        <f t="shared" si="7"/>
        <v>648848.06028255424</v>
      </c>
      <c r="AJ34" s="31">
        <f t="shared" si="7"/>
        <v>657826.23596173956</v>
      </c>
      <c r="AK34" s="31">
        <f t="shared" si="7"/>
        <v>686471.76773091266</v>
      </c>
      <c r="AL34" s="115">
        <f t="shared" si="7"/>
        <v>674418.60465116287</v>
      </c>
      <c r="AM34" s="115">
        <f t="shared" si="7"/>
        <v>16640179.257888546</v>
      </c>
      <c r="AN34" s="115">
        <f t="shared" si="7"/>
        <v>14994695.963679267</v>
      </c>
      <c r="AO34" s="115">
        <f t="shared" si="8"/>
        <v>15190792.575411281</v>
      </c>
      <c r="AP34" s="596">
        <f t="shared" si="8"/>
        <v>15223437.366234794</v>
      </c>
      <c r="AQ34" s="596">
        <f t="shared" si="8"/>
        <v>16587706.157537749</v>
      </c>
      <c r="AR34" s="596">
        <f t="shared" si="8"/>
        <v>17581395.348837212</v>
      </c>
      <c r="AS34" s="592">
        <f t="shared" si="9"/>
        <v>3790697.6744186049</v>
      </c>
      <c r="AT34" s="592">
        <f t="shared" si="10"/>
        <v>3395348.8372093025</v>
      </c>
      <c r="AU34" s="592">
        <f t="shared" si="11"/>
        <v>3441860.4651162792</v>
      </c>
      <c r="AV34" s="592">
        <f t="shared" si="12"/>
        <v>3418604.6511627911</v>
      </c>
      <c r="AW34" s="592">
        <f t="shared" si="13"/>
        <v>3697674.4186046515</v>
      </c>
      <c r="AX34" s="592">
        <f t="shared" si="14"/>
        <v>3883720.9302325584</v>
      </c>
      <c r="AY34" s="299"/>
      <c r="AZ34" s="114" t="s">
        <v>388</v>
      </c>
      <c r="BA34" s="115">
        <v>5.6716170440342388</v>
      </c>
      <c r="BB34" s="115">
        <v>5.0725611954966432</v>
      </c>
      <c r="BC34" s="115">
        <v>5.1619590243077917</v>
      </c>
      <c r="BD34" s="115">
        <v>5.1533643478403643</v>
      </c>
      <c r="BE34" s="115">
        <v>5.7032691388955685</v>
      </c>
      <c r="BF34" s="115">
        <v>6</v>
      </c>
      <c r="BG34" s="115">
        <v>53.998341950294105</v>
      </c>
      <c r="BH34" s="115">
        <v>48.686620483695492</v>
      </c>
      <c r="BI34" s="115">
        <v>47.58634003698063</v>
      </c>
      <c r="BJ34" s="115">
        <v>51.188639276772506</v>
      </c>
      <c r="BK34" s="115">
        <v>54.769817940828162</v>
      </c>
      <c r="BL34" s="115">
        <v>62</v>
      </c>
      <c r="BM34" s="115">
        <v>62.387787484376631</v>
      </c>
      <c r="BN34" s="115">
        <v>56.489519108127453</v>
      </c>
      <c r="BO34" s="115">
        <v>55.800933184299659</v>
      </c>
      <c r="BP34" s="115">
        <v>56.573056292709602</v>
      </c>
      <c r="BQ34" s="115">
        <v>59.036572024858479</v>
      </c>
      <c r="BR34" s="115">
        <v>58</v>
      </c>
      <c r="BS34" s="115">
        <v>1431.0554161784148</v>
      </c>
      <c r="BT34" s="115">
        <v>1289.5438528764168</v>
      </c>
      <c r="BU34" s="115">
        <v>1306.4081614853701</v>
      </c>
      <c r="BV34" s="115">
        <v>1309.2156134961922</v>
      </c>
      <c r="BW34" s="115">
        <v>1426.5427295482464</v>
      </c>
      <c r="BX34" s="115">
        <v>1512</v>
      </c>
      <c r="BY34" s="306">
        <v>326</v>
      </c>
      <c r="BZ34" s="306">
        <v>292</v>
      </c>
      <c r="CA34" s="306">
        <v>296</v>
      </c>
      <c r="CB34" s="306">
        <v>294</v>
      </c>
      <c r="CC34" s="306">
        <v>318</v>
      </c>
      <c r="CD34" s="306">
        <v>334</v>
      </c>
      <c r="CE34" s="305">
        <f>[2]Residentiel!$B$7/1000</f>
        <v>11.94186046511628</v>
      </c>
      <c r="CF34" s="299"/>
      <c r="CG34" s="299"/>
      <c r="CH34" s="299"/>
      <c r="CI34" s="299"/>
      <c r="CJ34" s="299"/>
    </row>
    <row r="35" spans="1:88">
      <c r="A35" s="297"/>
      <c r="B35" s="135" t="s">
        <v>82</v>
      </c>
      <c r="C35" s="57">
        <f t="shared" si="1"/>
        <v>0</v>
      </c>
      <c r="D35" s="57">
        <f t="shared" si="2"/>
        <v>0</v>
      </c>
      <c r="E35" s="57">
        <f t="shared" si="3"/>
        <v>0</v>
      </c>
      <c r="F35" s="600">
        <f t="shared" si="4"/>
        <v>6090563.7790697673</v>
      </c>
      <c r="G35" s="660"/>
      <c r="H35" s="298"/>
      <c r="I35" s="298"/>
      <c r="J35" s="297"/>
      <c r="K35" s="297"/>
      <c r="L35" s="297"/>
      <c r="M35" s="297"/>
      <c r="N35" s="297"/>
      <c r="O35" s="297"/>
      <c r="P35" s="297"/>
      <c r="Q35" s="297"/>
      <c r="R35" s="297"/>
      <c r="S35" s="299"/>
      <c r="T35" s="34" t="s">
        <v>393</v>
      </c>
      <c r="U35" s="38">
        <f t="shared" si="6"/>
        <v>0</v>
      </c>
      <c r="V35" s="38">
        <f t="shared" si="6"/>
        <v>0</v>
      </c>
      <c r="W35" s="38">
        <f t="shared" si="6"/>
        <v>0</v>
      </c>
      <c r="X35" s="38">
        <f t="shared" si="6"/>
        <v>0</v>
      </c>
      <c r="Y35" s="38">
        <f t="shared" si="6"/>
        <v>0</v>
      </c>
      <c r="Z35" s="115">
        <f t="shared" si="6"/>
        <v>0</v>
      </c>
      <c r="AA35" s="38">
        <f t="shared" si="6"/>
        <v>0</v>
      </c>
      <c r="AB35" s="38">
        <f t="shared" si="6"/>
        <v>0</v>
      </c>
      <c r="AC35" s="38">
        <f t="shared" si="6"/>
        <v>0</v>
      </c>
      <c r="AD35" s="38">
        <f t="shared" si="6"/>
        <v>0</v>
      </c>
      <c r="AE35" s="38">
        <f t="shared" si="7"/>
        <v>0</v>
      </c>
      <c r="AF35" s="207">
        <f t="shared" si="7"/>
        <v>0</v>
      </c>
      <c r="AG35" s="206">
        <f t="shared" si="7"/>
        <v>0</v>
      </c>
      <c r="AH35" s="206">
        <f t="shared" si="7"/>
        <v>0</v>
      </c>
      <c r="AI35" s="206">
        <f t="shared" si="7"/>
        <v>0</v>
      </c>
      <c r="AJ35" s="206">
        <f t="shared" si="7"/>
        <v>0</v>
      </c>
      <c r="AK35" s="206">
        <f t="shared" si="7"/>
        <v>0</v>
      </c>
      <c r="AL35" s="207">
        <f t="shared" si="7"/>
        <v>0</v>
      </c>
      <c r="AM35" s="593">
        <f t="shared" si="7"/>
        <v>5819811.5697674416</v>
      </c>
      <c r="AN35" s="593">
        <f t="shared" si="7"/>
        <v>6511273.4883720931</v>
      </c>
      <c r="AO35" s="593">
        <f t="shared" si="8"/>
        <v>6260206.1627906971</v>
      </c>
      <c r="AP35" s="593">
        <f t="shared" si="8"/>
        <v>6090563.7790697673</v>
      </c>
      <c r="AQ35" s="593">
        <f t="shared" si="8"/>
        <v>6555300.1090595936</v>
      </c>
      <c r="AR35" s="593">
        <f t="shared" si="8"/>
        <v>7116279.0697674425</v>
      </c>
      <c r="AS35" s="307">
        <f t="shared" si="9"/>
        <v>0</v>
      </c>
      <c r="AT35" s="307">
        <f t="shared" si="10"/>
        <v>0</v>
      </c>
      <c r="AU35" s="307">
        <f t="shared" si="11"/>
        <v>0</v>
      </c>
      <c r="AV35" s="307">
        <f t="shared" si="12"/>
        <v>0</v>
      </c>
      <c r="AW35" s="307">
        <f t="shared" si="13"/>
        <v>0</v>
      </c>
      <c r="AX35" s="307">
        <f t="shared" si="14"/>
        <v>0</v>
      </c>
      <c r="AY35" s="299"/>
      <c r="AZ35" s="113" t="s">
        <v>392</v>
      </c>
      <c r="BA35" s="117">
        <v>0</v>
      </c>
      <c r="BB35" s="117">
        <v>0</v>
      </c>
      <c r="BC35" s="117">
        <v>0</v>
      </c>
      <c r="BD35" s="117">
        <v>0</v>
      </c>
      <c r="BE35" s="117">
        <v>0</v>
      </c>
      <c r="BF35" s="210">
        <v>0</v>
      </c>
      <c r="BG35" s="117">
        <v>0</v>
      </c>
      <c r="BH35" s="117">
        <v>0</v>
      </c>
      <c r="BI35" s="117">
        <v>0</v>
      </c>
      <c r="BJ35" s="117">
        <v>0</v>
      </c>
      <c r="BK35" s="117">
        <v>0</v>
      </c>
      <c r="BL35" s="117">
        <v>0</v>
      </c>
      <c r="BM35" s="211">
        <v>0</v>
      </c>
      <c r="BN35" s="211">
        <v>0</v>
      </c>
      <c r="BO35" s="211">
        <v>0</v>
      </c>
      <c r="BP35" s="211">
        <v>0</v>
      </c>
      <c r="BQ35" s="211">
        <v>0</v>
      </c>
      <c r="BR35" s="211">
        <v>0</v>
      </c>
      <c r="BS35" s="125">
        <v>500.50379499999997</v>
      </c>
      <c r="BT35" s="125">
        <v>559.96951999999999</v>
      </c>
      <c r="BU35" s="125">
        <v>538.37772999999993</v>
      </c>
      <c r="BV35" s="125">
        <v>523.78848499999992</v>
      </c>
      <c r="BW35" s="125">
        <v>563.75580937912503</v>
      </c>
      <c r="BX35" s="125">
        <v>612</v>
      </c>
      <c r="BY35" s="307"/>
      <c r="BZ35" s="307"/>
      <c r="CA35" s="307"/>
      <c r="CB35" s="307"/>
      <c r="CC35" s="307"/>
      <c r="CD35" s="307"/>
      <c r="CE35" s="305">
        <f>[2]Residentiel!$B$8/1000</f>
        <v>12.151162790697674</v>
      </c>
      <c r="CF35" s="299"/>
      <c r="CG35" s="299"/>
      <c r="CH35" s="299"/>
      <c r="CI35" s="299"/>
      <c r="CJ35" s="299"/>
    </row>
    <row r="36" spans="1:88">
      <c r="A36" s="297"/>
      <c r="B36" s="136" t="s">
        <v>83</v>
      </c>
      <c r="C36" s="58">
        <f t="shared" si="1"/>
        <v>0</v>
      </c>
      <c r="D36" s="58">
        <f t="shared" si="2"/>
        <v>0</v>
      </c>
      <c r="E36" s="58">
        <f t="shared" si="3"/>
        <v>0</v>
      </c>
      <c r="F36" s="601">
        <f t="shared" si="4"/>
        <v>0</v>
      </c>
      <c r="G36" s="660"/>
      <c r="H36" s="298"/>
      <c r="I36" s="298"/>
      <c r="J36" s="297"/>
      <c r="K36" s="297"/>
      <c r="L36" s="297"/>
      <c r="M36" s="297"/>
      <c r="N36" s="297"/>
      <c r="O36" s="297"/>
      <c r="P36" s="297"/>
      <c r="Q36" s="297"/>
      <c r="R36" s="297"/>
      <c r="S36" s="299"/>
      <c r="T36" s="35" t="s">
        <v>54</v>
      </c>
      <c r="U36" s="37">
        <f t="shared" ref="U36:AD40" si="15">BA36*$CG$26</f>
        <v>0</v>
      </c>
      <c r="V36" s="37">
        <f t="shared" si="15"/>
        <v>0</v>
      </c>
      <c r="W36" s="37">
        <f t="shared" si="15"/>
        <v>0</v>
      </c>
      <c r="X36" s="37">
        <f t="shared" si="15"/>
        <v>0</v>
      </c>
      <c r="Y36" s="37">
        <f t="shared" si="15"/>
        <v>0</v>
      </c>
      <c r="Z36" s="115">
        <f t="shared" si="15"/>
        <v>9906976.7441860475</v>
      </c>
      <c r="AA36" s="37">
        <f t="shared" si="15"/>
        <v>0</v>
      </c>
      <c r="AB36" s="37">
        <f t="shared" si="15"/>
        <v>0</v>
      </c>
      <c r="AC36" s="37">
        <f t="shared" si="15"/>
        <v>0</v>
      </c>
      <c r="AD36" s="37">
        <f t="shared" si="15"/>
        <v>0</v>
      </c>
      <c r="AE36" s="37">
        <f t="shared" ref="AE36:AL40" si="16">BK36*$CG$26</f>
        <v>0</v>
      </c>
      <c r="AF36" s="115">
        <f t="shared" si="16"/>
        <v>127906.97674418606</v>
      </c>
      <c r="AG36" s="214">
        <f t="shared" si="16"/>
        <v>34883.720930232565</v>
      </c>
      <c r="AH36" s="30">
        <f t="shared" si="16"/>
        <v>165255.8139534884</v>
      </c>
      <c r="AI36" s="30">
        <f t="shared" si="16"/>
        <v>137488.37209302324</v>
      </c>
      <c r="AJ36" s="209">
        <f t="shared" si="16"/>
        <v>0</v>
      </c>
      <c r="AK36" s="209">
        <f t="shared" si="16"/>
        <v>0</v>
      </c>
      <c r="AL36" s="207">
        <f t="shared" si="16"/>
        <v>0</v>
      </c>
      <c r="AM36" s="37"/>
      <c r="AN36" s="37"/>
      <c r="AO36" s="37"/>
      <c r="AP36" s="307"/>
      <c r="AQ36" s="307"/>
      <c r="AR36" s="307"/>
      <c r="AS36" s="307">
        <f t="shared" si="9"/>
        <v>0</v>
      </c>
      <c r="AT36" s="307">
        <f t="shared" si="10"/>
        <v>0</v>
      </c>
      <c r="AU36" s="307">
        <f t="shared" si="11"/>
        <v>0</v>
      </c>
      <c r="AV36" s="307">
        <f t="shared" si="12"/>
        <v>0</v>
      </c>
      <c r="AW36" s="307">
        <f t="shared" si="13"/>
        <v>0</v>
      </c>
      <c r="AX36" s="307">
        <f t="shared" si="14"/>
        <v>0</v>
      </c>
      <c r="AY36" s="299"/>
      <c r="AZ36" s="120" t="s">
        <v>56</v>
      </c>
      <c r="BA36" s="123"/>
      <c r="BB36" s="123"/>
      <c r="BC36" s="123"/>
      <c r="BD36" s="123"/>
      <c r="BE36" s="123"/>
      <c r="BF36" s="157">
        <v>852</v>
      </c>
      <c r="BG36" s="123">
        <v>0</v>
      </c>
      <c r="BH36" s="123">
        <v>0</v>
      </c>
      <c r="BI36" s="123">
        <v>0</v>
      </c>
      <c r="BJ36" s="123">
        <v>0</v>
      </c>
      <c r="BK36" s="123">
        <v>0</v>
      </c>
      <c r="BL36" s="157">
        <f>863-BF36</f>
        <v>11</v>
      </c>
      <c r="BM36" s="121">
        <v>3</v>
      </c>
      <c r="BN36" s="121">
        <v>14.212</v>
      </c>
      <c r="BO36" s="121">
        <v>11.823999999999998</v>
      </c>
      <c r="BP36" s="212">
        <v>0</v>
      </c>
      <c r="BQ36" s="213">
        <v>0</v>
      </c>
      <c r="BR36" s="213">
        <v>0</v>
      </c>
      <c r="BS36" s="123">
        <v>0</v>
      </c>
      <c r="BT36" s="123">
        <v>0</v>
      </c>
      <c r="BU36" s="123">
        <v>0</v>
      </c>
      <c r="BV36" s="308">
        <v>0</v>
      </c>
      <c r="BW36" s="308">
        <v>0</v>
      </c>
      <c r="BX36" s="308">
        <v>0</v>
      </c>
      <c r="BY36" s="307"/>
      <c r="BZ36" s="307"/>
      <c r="CA36" s="307"/>
      <c r="CB36" s="307"/>
      <c r="CC36" s="307"/>
      <c r="CD36" s="307"/>
      <c r="CE36" s="305">
        <f>[2]Residentiel!$B$9/1000</f>
        <v>8.0232558139534884</v>
      </c>
      <c r="CF36" s="299"/>
      <c r="CG36" s="299"/>
      <c r="CH36" s="299"/>
      <c r="CI36" s="299"/>
      <c r="CJ36" s="299"/>
    </row>
    <row r="37" spans="1:88">
      <c r="A37" s="297"/>
      <c r="B37" s="134" t="s">
        <v>394</v>
      </c>
      <c r="C37" s="56">
        <f t="shared" si="1"/>
        <v>0</v>
      </c>
      <c r="D37" s="56">
        <f t="shared" si="2"/>
        <v>325317.8523023256</v>
      </c>
      <c r="E37" s="56">
        <f t="shared" si="3"/>
        <v>2588034.9149651164</v>
      </c>
      <c r="F37" s="599">
        <f t="shared" si="4"/>
        <v>0</v>
      </c>
      <c r="G37" s="660"/>
      <c r="H37" s="298"/>
      <c r="I37" s="298"/>
      <c r="J37" s="297"/>
      <c r="K37" s="297"/>
      <c r="L37" s="297"/>
      <c r="M37" s="297"/>
      <c r="N37" s="297"/>
      <c r="O37" s="297"/>
      <c r="P37" s="297"/>
      <c r="Q37" s="297"/>
      <c r="R37" s="297"/>
      <c r="S37" s="299"/>
      <c r="T37" s="33" t="s">
        <v>394</v>
      </c>
      <c r="U37" s="309">
        <f t="shared" si="15"/>
        <v>0</v>
      </c>
      <c r="V37" s="309">
        <f t="shared" si="15"/>
        <v>0</v>
      </c>
      <c r="W37" s="309">
        <f t="shared" si="15"/>
        <v>0</v>
      </c>
      <c r="X37" s="309">
        <f t="shared" si="15"/>
        <v>0</v>
      </c>
      <c r="Y37" s="309">
        <f t="shared" si="15"/>
        <v>0</v>
      </c>
      <c r="Z37" s="115">
        <f t="shared" si="15"/>
        <v>0</v>
      </c>
      <c r="AA37" s="310">
        <f t="shared" si="15"/>
        <v>149691.92316279071</v>
      </c>
      <c r="AB37" s="310">
        <f t="shared" si="15"/>
        <v>259505.54491860466</v>
      </c>
      <c r="AC37" s="310">
        <f t="shared" si="15"/>
        <v>283173.26834883715</v>
      </c>
      <c r="AD37" s="310">
        <f t="shared" si="15"/>
        <v>325317.8523023256</v>
      </c>
      <c r="AE37" s="310">
        <f t="shared" si="16"/>
        <v>3608.8444418604649</v>
      </c>
      <c r="AF37" s="115">
        <f t="shared" si="16"/>
        <v>279069.76744186052</v>
      </c>
      <c r="AG37" s="310">
        <f t="shared" si="16"/>
        <v>3995942.7266511628</v>
      </c>
      <c r="AH37" s="310">
        <f t="shared" si="16"/>
        <v>2960747.7282209308</v>
      </c>
      <c r="AI37" s="310">
        <f t="shared" si="16"/>
        <v>2805032.0294418605</v>
      </c>
      <c r="AJ37" s="310">
        <f t="shared" si="16"/>
        <v>2588034.9149651164</v>
      </c>
      <c r="AK37" s="310">
        <f t="shared" si="16"/>
        <v>2644404.7445813953</v>
      </c>
      <c r="AL37" s="115">
        <f t="shared" si="16"/>
        <v>2465116.2790697678</v>
      </c>
      <c r="AM37" s="309"/>
      <c r="AN37" s="309"/>
      <c r="AO37" s="309"/>
      <c r="AP37" s="309"/>
      <c r="AQ37" s="309"/>
      <c r="AR37" s="309"/>
      <c r="AS37" s="592">
        <f t="shared" si="9"/>
        <v>151162.79069767444</v>
      </c>
      <c r="AT37" s="592">
        <f t="shared" si="10"/>
        <v>255813.95348837212</v>
      </c>
      <c r="AU37" s="592">
        <f t="shared" si="11"/>
        <v>279069.76744186052</v>
      </c>
      <c r="AV37" s="592">
        <f t="shared" si="12"/>
        <v>325581.39534883725</v>
      </c>
      <c r="AW37" s="592">
        <f t="shared" si="13"/>
        <v>267441.86046511628</v>
      </c>
      <c r="AX37" s="592">
        <f t="shared" si="14"/>
        <v>279069.76744186052</v>
      </c>
      <c r="AY37" s="299"/>
      <c r="AZ37" s="114" t="s">
        <v>389</v>
      </c>
      <c r="BA37" s="311">
        <v>0</v>
      </c>
      <c r="BB37" s="311">
        <v>0</v>
      </c>
      <c r="BC37" s="311">
        <v>0</v>
      </c>
      <c r="BD37" s="311">
        <v>0</v>
      </c>
      <c r="BE37" s="311">
        <v>0</v>
      </c>
      <c r="BF37" s="312">
        <v>0</v>
      </c>
      <c r="BG37" s="313">
        <v>12.873505392</v>
      </c>
      <c r="BH37" s="313">
        <v>22.317476863</v>
      </c>
      <c r="BI37" s="313">
        <v>24.352901077999995</v>
      </c>
      <c r="BJ37" s="313">
        <v>27.977335298</v>
      </c>
      <c r="BK37" s="313">
        <v>0.31036062199999997</v>
      </c>
      <c r="BL37" s="313">
        <f>24</f>
        <v>24</v>
      </c>
      <c r="BM37" s="313">
        <v>343.65107449199996</v>
      </c>
      <c r="BN37" s="313">
        <v>254.62430462700001</v>
      </c>
      <c r="BO37" s="313">
        <v>241.232754532</v>
      </c>
      <c r="BP37" s="313">
        <v>222.57100268699998</v>
      </c>
      <c r="BQ37" s="313">
        <v>227.41880803399999</v>
      </c>
      <c r="BR37" s="313">
        <v>212</v>
      </c>
      <c r="BS37" s="311">
        <v>0</v>
      </c>
      <c r="BT37" s="311">
        <v>0</v>
      </c>
      <c r="BU37" s="311">
        <v>0</v>
      </c>
      <c r="BV37" s="311">
        <v>0</v>
      </c>
      <c r="BW37" s="311">
        <v>0</v>
      </c>
      <c r="BX37" s="311">
        <v>0</v>
      </c>
      <c r="BY37" s="589">
        <v>13</v>
      </c>
      <c r="BZ37" s="589">
        <v>22</v>
      </c>
      <c r="CA37" s="589">
        <v>24</v>
      </c>
      <c r="CB37" s="589">
        <v>28</v>
      </c>
      <c r="CC37" s="589">
        <v>23</v>
      </c>
      <c r="CD37" s="589">
        <v>24</v>
      </c>
      <c r="CE37" s="305">
        <f>[2]Residentiel!$B$10/1000</f>
        <v>11.38372093023256</v>
      </c>
      <c r="CF37" s="299"/>
      <c r="CG37" s="299"/>
      <c r="CH37" s="299"/>
      <c r="CI37" s="299"/>
      <c r="CJ37" s="299"/>
    </row>
    <row r="38" spans="1:88">
      <c r="A38" s="297"/>
      <c r="B38" s="187" t="s">
        <v>84</v>
      </c>
      <c r="C38" s="188">
        <f t="shared" si="1"/>
        <v>0</v>
      </c>
      <c r="D38" s="188">
        <f t="shared" si="2"/>
        <v>0</v>
      </c>
      <c r="E38" s="188">
        <f t="shared" si="3"/>
        <v>4882395.3216976756</v>
      </c>
      <c r="F38" s="602">
        <f t="shared" si="4"/>
        <v>0</v>
      </c>
      <c r="G38" s="660"/>
      <c r="H38" s="298"/>
      <c r="I38" s="298"/>
      <c r="J38" s="297"/>
      <c r="K38" s="297"/>
      <c r="L38" s="297"/>
      <c r="M38" s="297"/>
      <c r="N38" s="297"/>
      <c r="O38" s="297"/>
      <c r="P38" s="297"/>
      <c r="Q38" s="297"/>
      <c r="R38" s="297"/>
      <c r="S38" s="299"/>
      <c r="T38" s="34" t="s">
        <v>48</v>
      </c>
      <c r="U38" s="36">
        <f t="shared" si="15"/>
        <v>0</v>
      </c>
      <c r="V38" s="36">
        <f t="shared" si="15"/>
        <v>0</v>
      </c>
      <c r="W38" s="36">
        <f t="shared" si="15"/>
        <v>0</v>
      </c>
      <c r="X38" s="36">
        <f t="shared" si="15"/>
        <v>0</v>
      </c>
      <c r="Y38" s="36">
        <f t="shared" si="15"/>
        <v>0</v>
      </c>
      <c r="Z38" s="115">
        <f t="shared" si="15"/>
        <v>0</v>
      </c>
      <c r="AA38" s="36">
        <f t="shared" si="15"/>
        <v>0</v>
      </c>
      <c r="AB38" s="36">
        <f t="shared" si="15"/>
        <v>0</v>
      </c>
      <c r="AC38" s="36">
        <f t="shared" si="15"/>
        <v>0</v>
      </c>
      <c r="AD38" s="36">
        <f t="shared" si="15"/>
        <v>0</v>
      </c>
      <c r="AE38" s="36">
        <f t="shared" si="16"/>
        <v>0</v>
      </c>
      <c r="AF38" s="208">
        <f t="shared" si="16"/>
        <v>0</v>
      </c>
      <c r="AG38" s="31">
        <f t="shared" si="16"/>
        <v>3980963.074000001</v>
      </c>
      <c r="AH38" s="31">
        <f t="shared" si="16"/>
        <v>3429705.062651163</v>
      </c>
      <c r="AI38" s="31">
        <f t="shared" si="16"/>
        <v>4163339.4886046513</v>
      </c>
      <c r="AJ38" s="31">
        <f t="shared" si="16"/>
        <v>4882395.3216976756</v>
      </c>
      <c r="AK38" s="31">
        <f t="shared" si="16"/>
        <v>6670314.9520465126</v>
      </c>
      <c r="AL38" s="115">
        <f t="shared" si="16"/>
        <v>7220930.2325581405</v>
      </c>
      <c r="AM38" s="36"/>
      <c r="AN38" s="36"/>
      <c r="AO38" s="36"/>
      <c r="AP38" s="314"/>
      <c r="AQ38" s="314"/>
      <c r="AR38" s="314"/>
      <c r="AS38" s="307">
        <f t="shared" si="9"/>
        <v>0</v>
      </c>
      <c r="AT38" s="307">
        <f t="shared" si="10"/>
        <v>0</v>
      </c>
      <c r="AU38" s="307">
        <f t="shared" si="11"/>
        <v>0</v>
      </c>
      <c r="AV38" s="307">
        <f t="shared" si="12"/>
        <v>0</v>
      </c>
      <c r="AW38" s="307">
        <f t="shared" si="13"/>
        <v>0</v>
      </c>
      <c r="AX38" s="307">
        <f t="shared" si="14"/>
        <v>0</v>
      </c>
      <c r="AY38" s="299"/>
      <c r="AZ38" s="113" t="s">
        <v>52</v>
      </c>
      <c r="BA38" s="118">
        <v>0</v>
      </c>
      <c r="BB38" s="118">
        <v>0</v>
      </c>
      <c r="BC38" s="118">
        <v>0</v>
      </c>
      <c r="BD38" s="118">
        <v>0</v>
      </c>
      <c r="BE38" s="118">
        <v>0</v>
      </c>
      <c r="BF38" s="118"/>
      <c r="BG38" s="118">
        <v>0</v>
      </c>
      <c r="BH38" s="118">
        <v>0</v>
      </c>
      <c r="BI38" s="118">
        <v>0</v>
      </c>
      <c r="BJ38" s="118">
        <v>0</v>
      </c>
      <c r="BK38" s="118">
        <v>0</v>
      </c>
      <c r="BL38" s="118"/>
      <c r="BM38" s="115">
        <v>342.36282436400006</v>
      </c>
      <c r="BN38" s="124">
        <v>294.95463538799999</v>
      </c>
      <c r="BO38" s="115">
        <v>358.04719602</v>
      </c>
      <c r="BP38" s="115">
        <v>419.88599766600004</v>
      </c>
      <c r="BQ38" s="115">
        <v>573.64708587600001</v>
      </c>
      <c r="BR38" s="115">
        <v>621</v>
      </c>
      <c r="BS38" s="118">
        <v>0</v>
      </c>
      <c r="BT38" s="118">
        <v>0</v>
      </c>
      <c r="BU38" s="118">
        <v>0</v>
      </c>
      <c r="BV38" s="315">
        <v>0</v>
      </c>
      <c r="BW38" s="315">
        <v>0</v>
      </c>
      <c r="BX38" s="315">
        <v>0</v>
      </c>
      <c r="BY38" s="314"/>
      <c r="BZ38" s="314"/>
      <c r="CA38" s="314"/>
      <c r="CB38" s="314"/>
      <c r="CC38" s="314"/>
      <c r="CD38" s="314"/>
      <c r="CE38" s="305">
        <f>[2]Residentiel!$B$11/1000</f>
        <v>9.4000000000000021</v>
      </c>
      <c r="CF38" s="299"/>
      <c r="CG38" s="299"/>
      <c r="CH38" s="299"/>
      <c r="CI38" s="299"/>
      <c r="CJ38" s="299"/>
    </row>
    <row r="39" spans="1:88">
      <c r="A39" s="297"/>
      <c r="B39" s="191" t="s">
        <v>85</v>
      </c>
      <c r="C39" s="189">
        <f t="shared" si="1"/>
        <v>444418.60465116281</v>
      </c>
      <c r="D39" s="189">
        <f t="shared" si="2"/>
        <v>13651.16279069767</v>
      </c>
      <c r="E39" s="189">
        <f t="shared" si="3"/>
        <v>0</v>
      </c>
      <c r="F39" s="603">
        <f t="shared" si="4"/>
        <v>0</v>
      </c>
      <c r="G39" s="660"/>
      <c r="H39" s="298"/>
      <c r="I39" s="298"/>
      <c r="J39" s="297"/>
      <c r="K39" s="297"/>
      <c r="L39" s="297"/>
      <c r="M39" s="297"/>
      <c r="N39" s="297"/>
      <c r="O39" s="297"/>
      <c r="P39" s="297"/>
      <c r="Q39" s="297"/>
      <c r="R39" s="297"/>
      <c r="S39" s="299"/>
      <c r="T39" s="35" t="s">
        <v>25</v>
      </c>
      <c r="U39" s="39">
        <f t="shared" si="15"/>
        <v>310370.59116279066</v>
      </c>
      <c r="V39" s="39">
        <f t="shared" si="15"/>
        <v>355116.27906976745</v>
      </c>
      <c r="W39" s="39">
        <f t="shared" si="15"/>
        <v>401162.79069767444</v>
      </c>
      <c r="X39" s="39">
        <f t="shared" si="15"/>
        <v>444418.60465116281</v>
      </c>
      <c r="Y39" s="39">
        <f t="shared" si="15"/>
        <v>489930.2325581396</v>
      </c>
      <c r="Z39" s="115">
        <f t="shared" si="15"/>
        <v>523255.81395348842</v>
      </c>
      <c r="AA39" s="39">
        <f t="shared" si="15"/>
        <v>5808.2460465116146</v>
      </c>
      <c r="AB39" s="39">
        <f t="shared" si="15"/>
        <v>6314.0585209302399</v>
      </c>
      <c r="AC39" s="39">
        <f t="shared" si="15"/>
        <v>9930.232558139609</v>
      </c>
      <c r="AD39" s="39">
        <f t="shared" si="15"/>
        <v>13651.16279069767</v>
      </c>
      <c r="AE39" s="39">
        <f t="shared" si="16"/>
        <v>14662.790697674418</v>
      </c>
      <c r="AF39" s="115">
        <f t="shared" si="16"/>
        <v>23255.813953488374</v>
      </c>
      <c r="AG39" s="40">
        <f t="shared" si="16"/>
        <v>0</v>
      </c>
      <c r="AH39" s="40">
        <f t="shared" si="16"/>
        <v>0</v>
      </c>
      <c r="AI39" s="40">
        <f t="shared" si="16"/>
        <v>0</v>
      </c>
      <c r="AJ39" s="40">
        <f t="shared" si="16"/>
        <v>0</v>
      </c>
      <c r="AK39" s="40">
        <f t="shared" si="16"/>
        <v>0</v>
      </c>
      <c r="AL39" s="208">
        <f t="shared" si="16"/>
        <v>0</v>
      </c>
      <c r="AM39" s="40"/>
      <c r="AN39" s="40"/>
      <c r="AO39" s="40"/>
      <c r="AP39" s="40"/>
      <c r="AQ39" s="40"/>
      <c r="AR39" s="40"/>
      <c r="AS39" s="590">
        <f t="shared" si="9"/>
        <v>0</v>
      </c>
      <c r="AT39" s="590">
        <f t="shared" si="10"/>
        <v>0</v>
      </c>
      <c r="AU39" s="590">
        <f t="shared" si="11"/>
        <v>0</v>
      </c>
      <c r="AV39" s="590">
        <f t="shared" si="12"/>
        <v>116.27906976744187</v>
      </c>
      <c r="AW39" s="590">
        <f t="shared" si="13"/>
        <v>116.27906976744187</v>
      </c>
      <c r="AX39" s="590">
        <f t="shared" si="14"/>
        <v>116.27906976744187</v>
      </c>
      <c r="AY39" s="299"/>
      <c r="AZ39" s="120" t="s">
        <v>53</v>
      </c>
      <c r="BA39" s="125">
        <v>26.691870839999996</v>
      </c>
      <c r="BB39" s="125">
        <v>30.54</v>
      </c>
      <c r="BC39" s="125">
        <v>34.5</v>
      </c>
      <c r="BD39" s="125">
        <v>38.22</v>
      </c>
      <c r="BE39" s="125">
        <v>42.134</v>
      </c>
      <c r="BF39" s="125">
        <v>45</v>
      </c>
      <c r="BG39" s="119">
        <v>0.49950915999999879</v>
      </c>
      <c r="BH39" s="119">
        <v>0.54300903280000057</v>
      </c>
      <c r="BI39" s="119">
        <v>0.85400000000000631</v>
      </c>
      <c r="BJ39" s="119">
        <v>1.1739999999999995</v>
      </c>
      <c r="BK39" s="119">
        <v>1.2609999999999999</v>
      </c>
      <c r="BL39" s="125">
        <f>47-BF39</f>
        <v>2</v>
      </c>
      <c r="BM39" s="126">
        <v>0</v>
      </c>
      <c r="BN39" s="126">
        <v>0</v>
      </c>
      <c r="BO39" s="126">
        <v>0</v>
      </c>
      <c r="BP39" s="126">
        <v>0</v>
      </c>
      <c r="BQ39" s="126">
        <v>0</v>
      </c>
      <c r="BR39" s="126">
        <v>0</v>
      </c>
      <c r="BS39" s="126">
        <v>0</v>
      </c>
      <c r="BT39" s="126">
        <v>0</v>
      </c>
      <c r="BU39" s="126">
        <v>0</v>
      </c>
      <c r="BV39" s="126">
        <v>0</v>
      </c>
      <c r="BW39" s="126">
        <v>0</v>
      </c>
      <c r="BX39" s="126">
        <v>0</v>
      </c>
      <c r="BY39" s="39">
        <v>0</v>
      </c>
      <c r="BZ39" s="39">
        <v>0</v>
      </c>
      <c r="CA39" s="39">
        <v>0</v>
      </c>
      <c r="CB39" s="587">
        <v>0.01</v>
      </c>
      <c r="CC39" s="587">
        <v>0.01</v>
      </c>
      <c r="CD39" s="587">
        <v>0.01</v>
      </c>
      <c r="CE39" s="299"/>
      <c r="CF39" s="299"/>
      <c r="CG39" s="299"/>
      <c r="CH39" s="299"/>
      <c r="CI39" s="299"/>
      <c r="CJ39" s="299"/>
    </row>
    <row r="40" spans="1:88" s="68" customFormat="1" ht="15.75" thickBot="1">
      <c r="A40" s="297"/>
      <c r="B40" s="192" t="s">
        <v>361</v>
      </c>
      <c r="C40" s="189">
        <f t="shared" si="1"/>
        <v>475214.35941896326</v>
      </c>
      <c r="D40" s="189">
        <f t="shared" si="2"/>
        <v>0</v>
      </c>
      <c r="E40" s="189">
        <f t="shared" si="3"/>
        <v>5457.9044038370603</v>
      </c>
      <c r="F40" s="603">
        <f t="shared" si="4"/>
        <v>0</v>
      </c>
      <c r="G40" s="661"/>
      <c r="H40" s="298"/>
      <c r="I40" s="298"/>
      <c r="J40" s="297"/>
      <c r="K40" s="297"/>
      <c r="L40" s="297"/>
      <c r="M40" s="297"/>
      <c r="N40" s="297"/>
      <c r="O40" s="297"/>
      <c r="P40" s="297"/>
      <c r="Q40" s="297"/>
      <c r="R40" s="297"/>
      <c r="S40" s="299"/>
      <c r="T40" s="192" t="s">
        <v>361</v>
      </c>
      <c r="U40" s="39">
        <f t="shared" si="15"/>
        <v>706459.18848000001</v>
      </c>
      <c r="V40" s="39">
        <f t="shared" si="15"/>
        <v>558846.34402516915</v>
      </c>
      <c r="W40" s="39">
        <f t="shared" si="15"/>
        <v>453094.60232599225</v>
      </c>
      <c r="X40" s="39">
        <f t="shared" si="15"/>
        <v>475214.35941896326</v>
      </c>
      <c r="Y40" s="39">
        <f t="shared" si="15"/>
        <v>494830.87523022451</v>
      </c>
      <c r="Z40" s="115">
        <f t="shared" si="15"/>
        <v>476744.18604651169</v>
      </c>
      <c r="AA40" s="206">
        <f t="shared" si="15"/>
        <v>0</v>
      </c>
      <c r="AB40" s="206">
        <f t="shared" si="15"/>
        <v>0</v>
      </c>
      <c r="AC40" s="206">
        <f t="shared" si="15"/>
        <v>0</v>
      </c>
      <c r="AD40" s="206">
        <f t="shared" si="15"/>
        <v>0</v>
      </c>
      <c r="AE40" s="206">
        <f t="shared" si="16"/>
        <v>0</v>
      </c>
      <c r="AF40" s="207">
        <f t="shared" si="16"/>
        <v>0</v>
      </c>
      <c r="AG40" s="31">
        <f t="shared" si="16"/>
        <v>4985.0950800000001</v>
      </c>
      <c r="AH40" s="31">
        <f t="shared" si="16"/>
        <v>3749.250726496859</v>
      </c>
      <c r="AI40" s="31">
        <f t="shared" si="16"/>
        <v>3672.349295979584</v>
      </c>
      <c r="AJ40" s="31">
        <f t="shared" si="16"/>
        <v>5457.9044038370603</v>
      </c>
      <c r="AK40" s="31">
        <f t="shared" si="16"/>
        <v>2692.7214472225987</v>
      </c>
      <c r="AL40" s="115">
        <f t="shared" si="16"/>
        <v>2325.5813953488373</v>
      </c>
      <c r="AM40" s="208">
        <f t="shared" ref="AM40:AR40" si="17">BS40*$CG$26</f>
        <v>0</v>
      </c>
      <c r="AN40" s="208">
        <f t="shared" si="17"/>
        <v>0</v>
      </c>
      <c r="AO40" s="208">
        <f t="shared" si="17"/>
        <v>0</v>
      </c>
      <c r="AP40" s="208">
        <f t="shared" si="17"/>
        <v>0</v>
      </c>
      <c r="AQ40" s="208">
        <f t="shared" si="17"/>
        <v>0</v>
      </c>
      <c r="AR40" s="115">
        <f t="shared" si="17"/>
        <v>34883.720930232565</v>
      </c>
      <c r="AS40" s="591">
        <f t="shared" si="9"/>
        <v>0</v>
      </c>
      <c r="AT40" s="591">
        <f t="shared" si="10"/>
        <v>0</v>
      </c>
      <c r="AU40" s="591">
        <f t="shared" si="11"/>
        <v>0</v>
      </c>
      <c r="AV40" s="591">
        <f t="shared" si="12"/>
        <v>465.11627906976747</v>
      </c>
      <c r="AW40" s="591">
        <f t="shared" si="13"/>
        <v>232.55813953488374</v>
      </c>
      <c r="AX40" s="591">
        <f t="shared" si="14"/>
        <v>232.55813953488374</v>
      </c>
      <c r="AY40" s="299"/>
      <c r="AZ40" s="192" t="s">
        <v>362</v>
      </c>
      <c r="BA40" s="115">
        <v>60.755490209279998</v>
      </c>
      <c r="BB40" s="115">
        <v>48.060785586164542</v>
      </c>
      <c r="BC40" s="115">
        <v>38.966135800035332</v>
      </c>
      <c r="BD40" s="115">
        <v>40.868434910030835</v>
      </c>
      <c r="BE40" s="115">
        <v>42.555455269799303</v>
      </c>
      <c r="BF40" s="115">
        <v>41</v>
      </c>
      <c r="BG40" s="316">
        <v>0</v>
      </c>
      <c r="BH40" s="316">
        <v>0</v>
      </c>
      <c r="BI40" s="316">
        <v>0</v>
      </c>
      <c r="BJ40" s="316">
        <v>0</v>
      </c>
      <c r="BK40" s="316">
        <v>0</v>
      </c>
      <c r="BL40" s="316">
        <v>0</v>
      </c>
      <c r="BM40" s="316">
        <v>0.42871817687999997</v>
      </c>
      <c r="BN40" s="316">
        <v>0.32243556247872984</v>
      </c>
      <c r="BO40" s="316">
        <v>0.3158220394542442</v>
      </c>
      <c r="BP40" s="316">
        <v>0.46937977872998715</v>
      </c>
      <c r="BQ40" s="316">
        <v>0.23157404446114349</v>
      </c>
      <c r="BR40" s="316">
        <v>0.2</v>
      </c>
      <c r="BS40" s="316">
        <v>0</v>
      </c>
      <c r="BT40" s="316">
        <v>0</v>
      </c>
      <c r="BU40" s="316">
        <v>0</v>
      </c>
      <c r="BV40" s="316">
        <v>0</v>
      </c>
      <c r="BW40" s="316">
        <v>0</v>
      </c>
      <c r="BX40" s="316">
        <v>3</v>
      </c>
      <c r="BY40" s="115">
        <v>0</v>
      </c>
      <c r="BZ40" s="115">
        <v>0</v>
      </c>
      <c r="CA40" s="115">
        <v>0</v>
      </c>
      <c r="CB40" s="588">
        <v>0.04</v>
      </c>
      <c r="CC40" s="588">
        <v>0.02</v>
      </c>
      <c r="CD40" s="588">
        <v>0.02</v>
      </c>
      <c r="CE40" s="299"/>
      <c r="CF40" s="299"/>
      <c r="CG40" s="299"/>
      <c r="CH40" s="299"/>
      <c r="CI40" s="299"/>
      <c r="CJ40" s="299"/>
    </row>
    <row r="41" spans="1:88">
      <c r="A41" s="297"/>
      <c r="B41" s="297"/>
      <c r="C41" s="297"/>
      <c r="D41" s="297"/>
      <c r="E41" s="297"/>
      <c r="F41" s="297"/>
      <c r="G41" s="297"/>
      <c r="H41" s="297"/>
      <c r="I41" s="297"/>
      <c r="J41" s="297"/>
      <c r="K41" s="297"/>
      <c r="L41" s="297"/>
      <c r="M41" s="297"/>
      <c r="N41" s="297"/>
      <c r="O41" s="297"/>
      <c r="P41" s="297"/>
      <c r="Q41" s="297"/>
      <c r="R41" s="297"/>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299"/>
      <c r="BS41" s="299"/>
      <c r="BT41" s="299"/>
      <c r="BU41" s="299"/>
      <c r="BV41" s="299"/>
      <c r="BW41" s="299"/>
      <c r="BX41" s="299"/>
      <c r="BZ41" s="299"/>
      <c r="CA41" s="299"/>
      <c r="CB41" s="299"/>
      <c r="CC41" s="299"/>
      <c r="CD41" s="299"/>
      <c r="CE41" s="299">
        <f>[2]Residentiel!$B$13/1000</f>
        <v>12.000000000000002</v>
      </c>
    </row>
    <row r="42" spans="1:88" ht="15.75">
      <c r="A42" s="18" t="s">
        <v>250</v>
      </c>
      <c r="B42" s="253"/>
      <c r="C42" s="253"/>
      <c r="D42" s="253"/>
      <c r="E42" s="253"/>
      <c r="F42" s="253"/>
      <c r="G42" s="253"/>
      <c r="H42" s="253"/>
      <c r="I42" s="253"/>
      <c r="J42" s="253"/>
      <c r="K42" s="253"/>
      <c r="L42" s="253"/>
      <c r="M42" s="253"/>
      <c r="N42" s="253"/>
      <c r="O42" s="253"/>
      <c r="P42" s="253"/>
      <c r="Q42" s="253"/>
      <c r="R42" s="253"/>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299"/>
      <c r="BR42" s="299"/>
      <c r="BS42" s="299"/>
      <c r="BT42" s="299"/>
      <c r="BU42" s="299"/>
      <c r="BV42" s="299"/>
      <c r="BW42" s="299"/>
      <c r="BX42" s="299"/>
      <c r="BY42" s="299"/>
      <c r="BZ42" s="299"/>
      <c r="CA42" s="299"/>
      <c r="CB42" s="299"/>
      <c r="CC42" s="299"/>
      <c r="CD42" s="299"/>
    </row>
    <row r="43" spans="1:88">
      <c r="A43" s="297"/>
      <c r="B43" s="297"/>
      <c r="C43" s="297"/>
      <c r="D43" s="297"/>
      <c r="E43" s="297"/>
      <c r="F43" s="297"/>
      <c r="G43" s="297"/>
      <c r="H43" s="297"/>
      <c r="I43" s="297"/>
      <c r="J43" s="297"/>
      <c r="K43" s="297"/>
      <c r="L43" s="297"/>
      <c r="M43" s="297"/>
      <c r="N43" s="297"/>
      <c r="O43" s="297"/>
      <c r="P43" s="297"/>
      <c r="Q43" s="297"/>
      <c r="R43" s="297"/>
      <c r="T43" s="299"/>
      <c r="U43" s="301"/>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299"/>
      <c r="BZ43" s="299"/>
      <c r="CA43" s="299"/>
      <c r="CB43" s="299"/>
      <c r="CC43" s="299"/>
      <c r="CD43" s="299"/>
    </row>
    <row r="44" spans="1:88" ht="18.75">
      <c r="A44" s="297"/>
      <c r="B44" s="685" t="s">
        <v>87</v>
      </c>
      <c r="C44" s="686"/>
      <c r="D44" s="686"/>
      <c r="E44" s="686"/>
      <c r="F44" s="686"/>
      <c r="G44" s="686"/>
      <c r="H44" s="686"/>
      <c r="I44" s="297"/>
      <c r="J44" s="297"/>
      <c r="K44" s="297"/>
      <c r="L44" s="297"/>
      <c r="M44" s="297"/>
      <c r="N44" s="297"/>
      <c r="O44" s="297"/>
      <c r="P44" s="297"/>
      <c r="Q44" s="297"/>
      <c r="R44" s="297"/>
      <c r="U44" s="68"/>
      <c r="V44" s="68"/>
      <c r="W44" s="68"/>
      <c r="X44" s="68"/>
      <c r="Y44" s="68"/>
      <c r="BF44" s="299"/>
      <c r="BG44" s="299"/>
      <c r="BH44" s="299"/>
      <c r="BI44" s="299"/>
      <c r="BJ44" s="299"/>
      <c r="BK44" s="299"/>
      <c r="BL44" s="299"/>
    </row>
    <row r="45" spans="1:88" ht="18.75">
      <c r="A45" s="297"/>
      <c r="B45" s="679" t="s">
        <v>88</v>
      </c>
      <c r="C45" s="683" t="s">
        <v>89</v>
      </c>
      <c r="D45" s="684"/>
      <c r="E45" s="684"/>
      <c r="F45" s="684"/>
      <c r="G45" s="684"/>
      <c r="H45" s="684"/>
      <c r="I45" s="297"/>
      <c r="J45" s="297"/>
      <c r="K45" s="297"/>
      <c r="L45" s="297"/>
      <c r="M45" s="297"/>
      <c r="N45" s="297"/>
      <c r="O45" s="297"/>
      <c r="P45" s="297"/>
      <c r="Q45" s="297"/>
      <c r="R45" s="297"/>
      <c r="U45" s="68"/>
      <c r="V45" s="68"/>
      <c r="W45" s="68"/>
      <c r="X45" s="68"/>
      <c r="Y45" s="68"/>
      <c r="BF45" s="299"/>
      <c r="BG45" s="299"/>
      <c r="BH45" s="299"/>
      <c r="BI45" s="299"/>
      <c r="BJ45" s="299"/>
      <c r="BK45" s="299"/>
      <c r="BL45" s="299"/>
    </row>
    <row r="46" spans="1:88" ht="15.75">
      <c r="A46" s="297"/>
      <c r="B46" s="679"/>
      <c r="C46" s="59">
        <v>2010</v>
      </c>
      <c r="D46" s="59">
        <v>2011</v>
      </c>
      <c r="E46" s="59">
        <v>2012</v>
      </c>
      <c r="F46" s="59">
        <v>2013</v>
      </c>
      <c r="G46" s="102">
        <v>2014</v>
      </c>
      <c r="H46" s="102">
        <v>2015</v>
      </c>
      <c r="I46" s="297"/>
      <c r="J46" s="297"/>
      <c r="K46" s="297"/>
      <c r="L46" s="297"/>
      <c r="M46" s="297"/>
      <c r="N46" s="297"/>
      <c r="O46" s="297"/>
      <c r="P46" s="297"/>
      <c r="Q46" s="297"/>
      <c r="R46" s="297"/>
      <c r="U46" s="68"/>
      <c r="V46" s="68"/>
      <c r="W46" s="68"/>
      <c r="X46" s="68"/>
      <c r="Y46" s="68"/>
      <c r="BG46" s="597"/>
      <c r="BH46" s="597"/>
      <c r="BI46" s="597"/>
      <c r="BJ46" s="597"/>
      <c r="BL46" s="597"/>
    </row>
    <row r="47" spans="1:88">
      <c r="A47" s="297"/>
      <c r="B47" s="103" t="s">
        <v>68</v>
      </c>
      <c r="C47" s="60">
        <v>3125</v>
      </c>
      <c r="D47" s="60">
        <v>3500</v>
      </c>
      <c r="E47" s="60">
        <v>3456</v>
      </c>
      <c r="F47" s="60">
        <v>4200</v>
      </c>
      <c r="G47" s="104">
        <v>4500</v>
      </c>
      <c r="H47" s="104">
        <v>4500</v>
      </c>
      <c r="I47" s="297"/>
      <c r="J47" s="297"/>
      <c r="K47" s="297"/>
      <c r="L47" s="297"/>
      <c r="M47" s="297"/>
      <c r="N47" s="297"/>
      <c r="O47" s="297"/>
      <c r="P47" s="297"/>
      <c r="Q47" s="297"/>
      <c r="R47" s="297"/>
      <c r="U47" s="68"/>
      <c r="V47" s="68"/>
      <c r="W47" s="68"/>
      <c r="X47" s="68"/>
      <c r="Y47" s="68"/>
    </row>
    <row r="48" spans="1:88" ht="15.75" thickBot="1">
      <c r="A48" s="297"/>
      <c r="B48" s="105" t="s">
        <v>249</v>
      </c>
      <c r="C48" s="318">
        <v>10547100</v>
      </c>
      <c r="D48" s="318">
        <v>10654366.003628619</v>
      </c>
      <c r="E48" s="318">
        <v>10762722.922820229</v>
      </c>
      <c r="F48" s="318">
        <v>10872181.852392627</v>
      </c>
      <c r="G48" s="319">
        <v>10982754</v>
      </c>
      <c r="H48" s="319">
        <v>11154372</v>
      </c>
      <c r="I48" s="297"/>
      <c r="J48" s="297"/>
      <c r="K48" s="297"/>
      <c r="L48" s="297"/>
      <c r="M48" s="297"/>
      <c r="N48" s="297"/>
      <c r="O48" s="297"/>
      <c r="P48" s="297"/>
      <c r="Q48" s="297"/>
      <c r="R48" s="297"/>
      <c r="U48" s="68"/>
      <c r="V48" s="68"/>
      <c r="W48" s="68"/>
      <c r="X48" s="68"/>
      <c r="Y48" s="68"/>
    </row>
    <row r="49" spans="1:25">
      <c r="A49" s="297"/>
      <c r="B49" s="297"/>
      <c r="C49" s="297"/>
      <c r="D49" s="297"/>
      <c r="E49" s="297"/>
      <c r="F49" s="297"/>
      <c r="G49" s="297"/>
      <c r="H49" s="297"/>
      <c r="I49" s="297"/>
      <c r="J49" s="297"/>
      <c r="K49" s="297"/>
      <c r="L49" s="297"/>
      <c r="M49" s="297"/>
      <c r="N49" s="297"/>
      <c r="O49" s="297"/>
      <c r="P49" s="297"/>
      <c r="Q49" s="297"/>
      <c r="R49" s="297"/>
      <c r="U49" s="68"/>
      <c r="V49" s="68"/>
      <c r="W49" s="68"/>
      <c r="X49" s="68"/>
      <c r="Y49" s="68"/>
    </row>
    <row r="50" spans="1:25">
      <c r="A50" s="297"/>
      <c r="B50" s="297"/>
      <c r="C50" s="297"/>
      <c r="D50" s="297"/>
      <c r="E50" s="297"/>
      <c r="F50" s="297"/>
      <c r="G50" s="297"/>
      <c r="H50" s="297"/>
      <c r="I50" s="297"/>
      <c r="J50" s="297"/>
      <c r="K50" s="297"/>
      <c r="L50" s="297"/>
      <c r="M50" s="297"/>
      <c r="N50" s="297"/>
      <c r="O50" s="297"/>
      <c r="P50" s="297"/>
      <c r="Q50" s="297"/>
      <c r="R50" s="297"/>
      <c r="U50" s="68"/>
      <c r="V50" s="68"/>
      <c r="W50" s="68"/>
      <c r="X50" s="68"/>
      <c r="Y50" s="68"/>
    </row>
    <row r="51" spans="1:25">
      <c r="A51" s="297"/>
      <c r="B51" s="297"/>
      <c r="C51" s="297"/>
      <c r="D51" s="297"/>
      <c r="E51" s="297"/>
      <c r="F51" s="297"/>
      <c r="G51" s="297"/>
      <c r="H51" s="297"/>
      <c r="I51" s="297"/>
      <c r="J51" s="297"/>
      <c r="K51" s="297"/>
      <c r="L51" s="297"/>
      <c r="M51" s="297"/>
      <c r="N51" s="297"/>
      <c r="O51" s="297"/>
      <c r="P51" s="297"/>
      <c r="Q51" s="297"/>
      <c r="R51" s="297"/>
      <c r="U51" s="68"/>
      <c r="V51" s="68"/>
      <c r="W51" s="68"/>
      <c r="X51" s="68"/>
      <c r="Y51" s="68"/>
    </row>
    <row r="52" spans="1:25" ht="15.75" thickBot="1">
      <c r="A52" s="297"/>
      <c r="B52" s="297"/>
      <c r="C52" s="297"/>
      <c r="D52" s="297"/>
      <c r="E52" s="297"/>
      <c r="F52" s="297"/>
      <c r="G52" s="297"/>
      <c r="H52" s="297"/>
      <c r="I52" s="297"/>
      <c r="J52" s="297"/>
      <c r="K52" s="297"/>
      <c r="L52" s="297"/>
      <c r="M52" s="297"/>
      <c r="N52" s="297"/>
      <c r="O52" s="297"/>
      <c r="P52" s="297"/>
      <c r="Q52" s="297"/>
      <c r="R52" s="297"/>
      <c r="U52" s="68"/>
      <c r="V52" s="68"/>
      <c r="W52" s="68"/>
      <c r="X52" s="68"/>
      <c r="Y52" s="68"/>
    </row>
    <row r="53" spans="1:25" ht="18.75">
      <c r="A53" s="297"/>
      <c r="B53" s="681" t="s">
        <v>90</v>
      </c>
      <c r="C53" s="682"/>
      <c r="D53" s="300"/>
      <c r="E53" s="297"/>
      <c r="F53" s="297"/>
      <c r="G53" s="297"/>
      <c r="H53" s="297"/>
      <c r="I53" s="297"/>
      <c r="J53" s="297"/>
      <c r="K53" s="297"/>
      <c r="L53" s="297"/>
      <c r="M53" s="297"/>
      <c r="N53" s="297"/>
      <c r="O53" s="297"/>
      <c r="P53" s="297"/>
      <c r="Q53" s="297"/>
      <c r="R53" s="297"/>
      <c r="U53" s="68"/>
      <c r="V53" s="68"/>
      <c r="W53" s="68"/>
      <c r="X53" s="68"/>
      <c r="Y53" s="68"/>
    </row>
    <row r="54" spans="1:25" ht="18.75">
      <c r="A54" s="297"/>
      <c r="B54" s="680" t="s">
        <v>88</v>
      </c>
      <c r="C54" s="66" t="s">
        <v>89</v>
      </c>
      <c r="D54" s="300"/>
      <c r="E54" s="297"/>
      <c r="F54" s="297"/>
      <c r="G54" s="297"/>
      <c r="H54" s="297"/>
      <c r="I54" s="297"/>
      <c r="J54" s="297"/>
      <c r="K54" s="297"/>
      <c r="L54" s="297"/>
      <c r="M54" s="297"/>
      <c r="N54" s="297"/>
      <c r="O54" s="297"/>
      <c r="P54" s="297"/>
      <c r="Q54" s="297"/>
      <c r="R54" s="297"/>
    </row>
    <row r="55" spans="1:25" ht="15.75">
      <c r="A55" s="297"/>
      <c r="B55" s="680"/>
      <c r="C55" s="63">
        <f>IF($C$7&lt;=2010, C46, (IF($C$7=2011, 2011, (IF($C$7=2012, 2012, (IF($C$7=2013, 2013,(IF($C$7=2014, 201,(IF($C$7&gt;=2015,2015)))))))))))</f>
        <v>2013</v>
      </c>
      <c r="D55" s="300"/>
      <c r="E55" s="297"/>
      <c r="F55" s="297"/>
      <c r="G55" s="297"/>
      <c r="H55" s="297"/>
      <c r="I55" s="297"/>
      <c r="J55" s="297"/>
      <c r="K55" s="297"/>
      <c r="L55" s="297"/>
      <c r="M55" s="297"/>
      <c r="N55" s="297"/>
      <c r="O55" s="297"/>
      <c r="P55" s="297"/>
      <c r="Q55" s="297"/>
      <c r="R55" s="297"/>
    </row>
    <row r="56" spans="1:25">
      <c r="A56" s="297"/>
      <c r="B56" s="64" t="s">
        <v>68</v>
      </c>
      <c r="C56" s="320">
        <f>IF($C$55&lt;=2011,C47,(IF($C$55=2012,D47,(IF($C$55=2013,E47,(IF($C$55=2014,F47,(IF($C$55=2015,G47,H47)))))))))</f>
        <v>3456</v>
      </c>
      <c r="D56" s="300"/>
      <c r="E56" s="297"/>
      <c r="F56" s="297"/>
      <c r="G56" s="297"/>
      <c r="H56" s="297"/>
      <c r="I56" s="297"/>
      <c r="J56" s="297"/>
      <c r="K56" s="297"/>
      <c r="L56" s="297"/>
      <c r="M56" s="297"/>
      <c r="N56" s="297"/>
      <c r="O56" s="297"/>
      <c r="P56" s="297"/>
      <c r="Q56" s="297"/>
      <c r="R56" s="297"/>
    </row>
    <row r="57" spans="1:25" ht="15.75" thickBot="1">
      <c r="A57" s="297"/>
      <c r="B57" s="65" t="s">
        <v>249</v>
      </c>
      <c r="C57" s="67">
        <f>IF($C$55=2010,C48,(IF($C$55=2011,D48,(IF($C$55=2012,E48,(IF($C$55=2013,F48,(IF($C$55=2014,G48,(IF($C$55=2015,H48,H48)))))))))))</f>
        <v>10872181.852392627</v>
      </c>
      <c r="D57" s="300"/>
      <c r="E57" s="297"/>
      <c r="F57" s="297"/>
      <c r="G57" s="297"/>
      <c r="H57" s="297"/>
      <c r="I57" s="297"/>
      <c r="J57" s="297"/>
      <c r="K57" s="297"/>
      <c r="L57" s="297"/>
      <c r="M57" s="297"/>
      <c r="N57" s="297"/>
      <c r="O57" s="297"/>
      <c r="P57" s="297"/>
      <c r="Q57" s="297"/>
      <c r="R57" s="297"/>
    </row>
    <row r="58" spans="1:25">
      <c r="A58" s="297"/>
      <c r="B58" s="300"/>
      <c r="C58" s="300"/>
      <c r="D58" s="300"/>
      <c r="E58" s="297"/>
      <c r="F58" s="297"/>
      <c r="G58" s="297"/>
      <c r="H58" s="297"/>
      <c r="I58" s="297"/>
      <c r="J58" s="297"/>
      <c r="K58" s="297"/>
      <c r="L58" s="297"/>
      <c r="M58" s="297"/>
      <c r="N58" s="297"/>
      <c r="O58" s="297"/>
      <c r="P58" s="297"/>
      <c r="Q58" s="297"/>
      <c r="R58" s="297"/>
    </row>
    <row r="59" spans="1:25" ht="15" customHeight="1">
      <c r="A59" s="297"/>
      <c r="B59" s="300"/>
      <c r="C59" s="300"/>
      <c r="D59" s="300"/>
      <c r="E59" s="297"/>
      <c r="F59" s="297"/>
      <c r="G59" s="297"/>
      <c r="H59" s="297"/>
      <c r="I59" s="297"/>
      <c r="J59" s="297"/>
      <c r="K59" s="297"/>
      <c r="L59" s="297"/>
      <c r="M59" s="297"/>
      <c r="N59" s="297"/>
      <c r="O59" s="297"/>
      <c r="P59" s="297"/>
      <c r="Q59" s="297"/>
      <c r="R59" s="297"/>
    </row>
    <row r="60" spans="1:25">
      <c r="A60" s="297"/>
      <c r="B60" s="297"/>
      <c r="C60" s="297"/>
      <c r="D60" s="297"/>
      <c r="E60" s="297"/>
      <c r="F60" s="297"/>
      <c r="G60" s="297"/>
      <c r="H60" s="297"/>
      <c r="I60" s="297"/>
      <c r="J60" s="297"/>
      <c r="K60" s="297"/>
      <c r="L60" s="297"/>
      <c r="M60" s="297"/>
      <c r="N60" s="297"/>
      <c r="O60" s="297"/>
      <c r="P60" s="297"/>
      <c r="Q60" s="297"/>
      <c r="R60" s="297"/>
    </row>
    <row r="61" spans="1:25" ht="15.75">
      <c r="A61" s="18" t="s">
        <v>271</v>
      </c>
      <c r="B61" s="253"/>
      <c r="C61" s="253"/>
      <c r="D61" s="253"/>
      <c r="E61" s="253"/>
      <c r="F61" s="253"/>
      <c r="G61" s="253"/>
      <c r="H61" s="253"/>
      <c r="I61" s="253"/>
      <c r="J61" s="253"/>
      <c r="K61" s="253"/>
      <c r="L61" s="253"/>
      <c r="M61" s="253"/>
      <c r="N61" s="253"/>
      <c r="O61" s="253"/>
      <c r="P61" s="253"/>
      <c r="Q61" s="253"/>
      <c r="R61" s="253"/>
    </row>
    <row r="62" spans="1:25" ht="15.75" thickBot="1">
      <c r="A62" s="297"/>
      <c r="B62" s="297"/>
      <c r="C62" s="297"/>
      <c r="D62" s="297"/>
      <c r="E62" s="297"/>
      <c r="F62" s="297"/>
      <c r="G62" s="297"/>
      <c r="H62" s="297"/>
      <c r="I62" s="297"/>
      <c r="J62" s="297"/>
      <c r="K62" s="297"/>
      <c r="L62" s="297"/>
      <c r="M62" s="297"/>
      <c r="N62" s="297"/>
      <c r="O62" s="297"/>
      <c r="P62" s="297"/>
      <c r="Q62" s="297"/>
      <c r="R62" s="297"/>
    </row>
    <row r="63" spans="1:25" ht="18.75">
      <c r="A63" s="297"/>
      <c r="B63" s="662" t="s">
        <v>91</v>
      </c>
      <c r="C63" s="663"/>
      <c r="D63" s="664"/>
      <c r="E63" s="297"/>
      <c r="F63" s="662" t="s">
        <v>275</v>
      </c>
      <c r="G63" s="663"/>
      <c r="H63" s="664"/>
      <c r="I63" s="297"/>
      <c r="J63" s="297"/>
      <c r="K63" s="297"/>
      <c r="L63" s="297"/>
      <c r="M63" s="297"/>
      <c r="N63" s="297"/>
      <c r="O63" s="297"/>
      <c r="P63" s="297"/>
      <c r="Q63" s="297"/>
      <c r="R63" s="297"/>
    </row>
    <row r="64" spans="1:25" ht="18.75">
      <c r="A64" s="297"/>
      <c r="B64" s="19" t="s">
        <v>273</v>
      </c>
      <c r="C64" s="89"/>
      <c r="D64" s="21" t="s">
        <v>93</v>
      </c>
      <c r="E64" s="297"/>
      <c r="F64" s="19" t="s">
        <v>92</v>
      </c>
      <c r="G64" s="20"/>
      <c r="H64" s="21" t="s">
        <v>93</v>
      </c>
      <c r="I64" s="297"/>
      <c r="J64" s="297"/>
      <c r="K64" s="297"/>
      <c r="L64" s="297"/>
      <c r="M64" s="297"/>
      <c r="N64" s="297"/>
      <c r="O64" s="297"/>
      <c r="P64" s="297"/>
      <c r="Q64" s="297"/>
      <c r="R64" s="297"/>
    </row>
    <row r="65" spans="1:18">
      <c r="A65" s="297"/>
      <c r="B65" s="561" t="s">
        <v>292</v>
      </c>
      <c r="C65" s="99">
        <v>1.0078930232558141E-2</v>
      </c>
      <c r="D65" s="22" t="s">
        <v>99</v>
      </c>
      <c r="E65" s="297"/>
      <c r="F65" s="24" t="s">
        <v>33</v>
      </c>
      <c r="G65" s="23">
        <v>25</v>
      </c>
      <c r="H65" s="22" t="s">
        <v>274</v>
      </c>
      <c r="I65" s="297"/>
      <c r="J65" s="297"/>
      <c r="K65" s="297"/>
      <c r="L65" s="297"/>
      <c r="M65" s="297"/>
      <c r="N65" s="297"/>
      <c r="O65" s="297"/>
      <c r="P65" s="297"/>
      <c r="Q65" s="297"/>
      <c r="R65" s="297"/>
    </row>
    <row r="66" spans="1:18" ht="15.75" thickBot="1">
      <c r="A66" s="297"/>
      <c r="B66" s="91" t="s">
        <v>95</v>
      </c>
      <c r="C66" s="90">
        <v>9.1741279069767444E-3</v>
      </c>
      <c r="D66" s="92" t="s">
        <v>99</v>
      </c>
      <c r="E66" s="297"/>
      <c r="F66" s="27" t="s">
        <v>34</v>
      </c>
      <c r="G66" s="28">
        <v>298</v>
      </c>
      <c r="H66" s="29" t="s">
        <v>274</v>
      </c>
      <c r="I66" s="297"/>
      <c r="J66" s="297"/>
      <c r="K66" s="297"/>
      <c r="L66" s="297"/>
      <c r="M66" s="297"/>
      <c r="N66" s="297"/>
      <c r="O66" s="297"/>
      <c r="P66" s="297"/>
      <c r="Q66" s="297"/>
      <c r="R66" s="297"/>
    </row>
    <row r="67" spans="1:18">
      <c r="A67" s="297"/>
      <c r="B67" s="93" t="s">
        <v>37</v>
      </c>
      <c r="C67" s="100">
        <v>1.2860465116279071E-2</v>
      </c>
      <c r="D67" s="94" t="s">
        <v>28</v>
      </c>
      <c r="E67" s="297"/>
      <c r="F67" s="297"/>
      <c r="G67" s="297"/>
      <c r="H67" s="297"/>
      <c r="I67" s="297"/>
      <c r="J67" s="297"/>
      <c r="K67" s="297"/>
      <c r="L67" s="297"/>
      <c r="M67" s="297"/>
      <c r="N67" s="297"/>
      <c r="O67" s="297"/>
      <c r="P67" s="297"/>
      <c r="Q67" s="297"/>
      <c r="R67" s="297"/>
    </row>
    <row r="68" spans="1:18">
      <c r="A68" s="297"/>
      <c r="B68" s="95" t="s">
        <v>63</v>
      </c>
      <c r="C68" s="99">
        <v>8.0232558139534879E-3</v>
      </c>
      <c r="D68" s="22" t="s">
        <v>28</v>
      </c>
      <c r="E68" s="297"/>
      <c r="F68" s="297"/>
      <c r="G68" s="297"/>
      <c r="H68" s="297"/>
      <c r="I68" s="297"/>
      <c r="J68" s="297"/>
      <c r="K68" s="297"/>
      <c r="L68" s="297"/>
      <c r="M68" s="297"/>
      <c r="N68" s="297"/>
      <c r="O68" s="297"/>
      <c r="P68" s="297"/>
      <c r="Q68" s="297"/>
      <c r="R68" s="297"/>
    </row>
    <row r="69" spans="1:18">
      <c r="A69" s="297"/>
      <c r="B69" s="96" t="s">
        <v>96</v>
      </c>
      <c r="C69" s="90">
        <v>4.1135159835109288E-3</v>
      </c>
      <c r="D69" s="92" t="s">
        <v>28</v>
      </c>
      <c r="E69" s="297"/>
      <c r="F69" s="297"/>
      <c r="G69" s="297"/>
      <c r="H69" s="297"/>
      <c r="I69" s="297"/>
      <c r="J69" s="323"/>
      <c r="K69" s="297"/>
      <c r="L69" s="297"/>
      <c r="M69" s="297"/>
      <c r="N69" s="297"/>
      <c r="O69" s="297"/>
      <c r="P69" s="297"/>
      <c r="Q69" s="297"/>
      <c r="R69" s="297"/>
    </row>
    <row r="70" spans="1:18">
      <c r="A70" s="297"/>
      <c r="B70" s="321" t="s">
        <v>390</v>
      </c>
      <c r="C70" s="100">
        <v>1.1383720930232559E-2</v>
      </c>
      <c r="D70" s="94" t="s">
        <v>28</v>
      </c>
      <c r="E70" s="297"/>
      <c r="F70" s="297"/>
      <c r="G70" s="297"/>
      <c r="H70" s="297"/>
      <c r="I70" s="297"/>
      <c r="J70" s="297"/>
      <c r="K70" s="297"/>
      <c r="L70" s="297"/>
      <c r="M70" s="297"/>
      <c r="N70" s="297"/>
      <c r="O70" s="297"/>
      <c r="P70" s="297"/>
      <c r="Q70" s="297"/>
      <c r="R70" s="297"/>
    </row>
    <row r="71" spans="1:18">
      <c r="A71" s="297"/>
      <c r="B71" s="95" t="s">
        <v>97</v>
      </c>
      <c r="C71" s="99">
        <v>9.4000000000000021E-3</v>
      </c>
      <c r="D71" s="22" t="s">
        <v>28</v>
      </c>
      <c r="E71" s="297"/>
      <c r="F71" s="297"/>
      <c r="G71" s="297"/>
      <c r="H71" s="322"/>
      <c r="I71" s="297"/>
      <c r="J71" s="297"/>
      <c r="K71" s="297"/>
      <c r="L71" s="297"/>
      <c r="M71" s="297"/>
      <c r="N71" s="297"/>
      <c r="O71" s="297"/>
      <c r="P71" s="297"/>
      <c r="Q71" s="297"/>
      <c r="R71" s="297"/>
    </row>
    <row r="72" spans="1:18">
      <c r="A72" s="297"/>
      <c r="B72" s="96" t="s">
        <v>98</v>
      </c>
      <c r="C72" s="90">
        <v>1.3299999999999999E-2</v>
      </c>
      <c r="D72" s="92" t="s">
        <v>270</v>
      </c>
      <c r="E72" s="297"/>
      <c r="F72" s="297"/>
      <c r="G72" s="297"/>
      <c r="H72" s="322"/>
      <c r="I72" s="297"/>
      <c r="J72" s="297"/>
      <c r="K72" s="297"/>
      <c r="L72" s="297"/>
      <c r="M72" s="297"/>
      <c r="N72" s="297"/>
      <c r="O72" s="297"/>
      <c r="P72" s="297"/>
      <c r="Q72" s="297"/>
      <c r="R72" s="297"/>
    </row>
    <row r="73" spans="1:18" ht="15.75" thickBot="1">
      <c r="A73" s="297"/>
      <c r="B73" s="97" t="s">
        <v>269</v>
      </c>
      <c r="C73" s="101">
        <v>9.5760000000000012E-3</v>
      </c>
      <c r="D73" s="98" t="s">
        <v>99</v>
      </c>
      <c r="E73" s="297"/>
      <c r="F73" s="297"/>
      <c r="G73" s="297"/>
      <c r="H73" s="322"/>
      <c r="I73" s="297"/>
      <c r="J73" s="297"/>
      <c r="K73" s="297"/>
      <c r="L73" s="297"/>
      <c r="M73" s="297"/>
      <c r="N73" s="297"/>
      <c r="O73" s="297"/>
      <c r="P73" s="297"/>
      <c r="Q73" s="297"/>
      <c r="R73" s="297"/>
    </row>
    <row r="74" spans="1:18">
      <c r="A74" s="297"/>
      <c r="B74" s="297"/>
      <c r="C74" s="297"/>
      <c r="D74" s="297"/>
      <c r="E74" s="297"/>
      <c r="F74" s="297"/>
      <c r="G74" s="297"/>
      <c r="H74" s="322"/>
      <c r="I74" s="297"/>
      <c r="J74" s="297"/>
      <c r="K74" s="297"/>
      <c r="L74" s="297"/>
      <c r="M74" s="297"/>
      <c r="N74" s="297"/>
      <c r="O74" s="297"/>
      <c r="P74" s="297"/>
      <c r="Q74" s="297"/>
      <c r="R74" s="297"/>
    </row>
    <row r="75" spans="1:18">
      <c r="A75" s="297"/>
      <c r="B75" s="297"/>
      <c r="C75" s="297"/>
      <c r="D75" s="297"/>
      <c r="E75" s="297"/>
      <c r="F75" s="297"/>
      <c r="G75" s="297"/>
      <c r="H75" s="297"/>
      <c r="I75" s="297"/>
      <c r="J75" s="297"/>
      <c r="K75" s="297"/>
      <c r="L75" s="297"/>
      <c r="M75" s="297"/>
      <c r="N75" s="297"/>
      <c r="O75" s="297"/>
      <c r="P75" s="297"/>
      <c r="Q75" s="297"/>
      <c r="R75" s="297"/>
    </row>
    <row r="76" spans="1:18" ht="15.75">
      <c r="A76" s="18" t="s">
        <v>272</v>
      </c>
      <c r="B76" s="253"/>
      <c r="C76" s="253"/>
      <c r="D76" s="253"/>
      <c r="E76" s="253"/>
      <c r="F76" s="253"/>
      <c r="G76" s="253"/>
      <c r="H76" s="253"/>
      <c r="I76" s="253"/>
      <c r="J76" s="253"/>
      <c r="K76" s="253"/>
      <c r="L76" s="253"/>
      <c r="M76" s="253"/>
      <c r="N76" s="253"/>
      <c r="O76" s="253"/>
      <c r="P76" s="253"/>
      <c r="Q76" s="253"/>
      <c r="R76" s="253"/>
    </row>
    <row r="77" spans="1:18" ht="15.75" thickBot="1">
      <c r="A77" s="297"/>
      <c r="B77" s="297"/>
      <c r="C77" s="297"/>
      <c r="D77" s="297"/>
      <c r="E77" s="297"/>
      <c r="F77" s="297"/>
      <c r="G77" s="297"/>
      <c r="H77" s="297"/>
      <c r="I77" s="297"/>
      <c r="J77" s="297"/>
      <c r="K77" s="297"/>
      <c r="L77" s="297"/>
      <c r="M77" s="297"/>
      <c r="N77" s="297"/>
      <c r="O77" s="297"/>
      <c r="P77" s="297"/>
      <c r="Q77" s="297"/>
      <c r="R77" s="297"/>
    </row>
    <row r="78" spans="1:18" ht="18.75">
      <c r="A78" s="297"/>
      <c r="B78" s="662" t="s">
        <v>100</v>
      </c>
      <c r="C78" s="663"/>
      <c r="D78" s="664"/>
      <c r="E78" s="297"/>
      <c r="F78" s="297"/>
      <c r="G78" s="297"/>
      <c r="H78" s="297"/>
      <c r="I78" s="297"/>
      <c r="J78" s="297"/>
      <c r="K78" s="297"/>
      <c r="L78" s="297"/>
      <c r="M78" s="297"/>
      <c r="N78" s="297"/>
      <c r="O78" s="297"/>
      <c r="P78" s="297"/>
      <c r="Q78" s="297"/>
      <c r="R78" s="297"/>
    </row>
    <row r="79" spans="1:18" ht="31.5">
      <c r="A79" s="297"/>
      <c r="B79" s="705" t="s">
        <v>94</v>
      </c>
      <c r="C79" s="706"/>
      <c r="D79" s="25" t="s">
        <v>333</v>
      </c>
      <c r="E79" s="297"/>
      <c r="F79" s="297"/>
      <c r="G79" s="297"/>
      <c r="H79" s="297"/>
      <c r="I79" s="297"/>
      <c r="J79" s="297"/>
      <c r="K79" s="297"/>
      <c r="L79" s="297"/>
      <c r="M79" s="297"/>
      <c r="N79" s="297"/>
      <c r="O79" s="297"/>
      <c r="P79" s="297"/>
      <c r="Q79" s="297"/>
      <c r="R79" s="297"/>
    </row>
    <row r="80" spans="1:18">
      <c r="A80" s="297"/>
      <c r="B80" s="701" t="s">
        <v>36</v>
      </c>
      <c r="C80" s="702"/>
      <c r="D80" s="154">
        <f>1000*([3]Energie!$B$32/1000)/0.85</f>
        <v>636.75377536362532</v>
      </c>
      <c r="E80" s="297"/>
      <c r="F80" s="297"/>
      <c r="G80" s="297"/>
      <c r="H80" s="297"/>
      <c r="I80" s="297"/>
      <c r="J80" s="297"/>
      <c r="K80" s="297"/>
      <c r="L80" s="297"/>
      <c r="M80" s="297"/>
      <c r="N80" s="297"/>
      <c r="O80" s="297"/>
      <c r="P80" s="297"/>
      <c r="Q80" s="297"/>
      <c r="R80" s="297"/>
    </row>
    <row r="81" spans="1:18">
      <c r="A81" s="297"/>
      <c r="B81" s="703" t="s">
        <v>101</v>
      </c>
      <c r="C81" s="704"/>
      <c r="D81" s="106"/>
      <c r="E81" s="297"/>
      <c r="F81" s="297"/>
      <c r="G81" s="297"/>
      <c r="H81" s="297"/>
      <c r="I81" s="297"/>
      <c r="J81" s="297"/>
      <c r="K81" s="297"/>
      <c r="L81" s="297"/>
      <c r="M81" s="297"/>
      <c r="N81" s="297"/>
      <c r="O81" s="297"/>
      <c r="P81" s="297"/>
      <c r="Q81" s="297"/>
      <c r="R81" s="297"/>
    </row>
    <row r="82" spans="1:18">
      <c r="A82" s="297"/>
      <c r="B82" s="695" t="s">
        <v>125</v>
      </c>
      <c r="C82" s="70" t="s">
        <v>98</v>
      </c>
      <c r="D82" s="107">
        <v>204.56868748896551</v>
      </c>
      <c r="E82" s="297"/>
      <c r="F82" s="297"/>
      <c r="G82" s="297"/>
      <c r="H82" s="297"/>
      <c r="I82" s="297"/>
      <c r="J82" s="297"/>
      <c r="K82" s="297"/>
      <c r="L82" s="297"/>
      <c r="M82" s="297"/>
      <c r="N82" s="297"/>
      <c r="O82" s="297"/>
      <c r="P82" s="297"/>
      <c r="Q82" s="297"/>
      <c r="R82" s="297"/>
    </row>
    <row r="83" spans="1:18">
      <c r="A83" s="297"/>
      <c r="B83" s="696"/>
      <c r="C83" s="71" t="s">
        <v>102</v>
      </c>
      <c r="D83" s="108">
        <v>227.39820431040002</v>
      </c>
      <c r="E83" s="297"/>
      <c r="F83" s="297"/>
      <c r="G83" s="297"/>
      <c r="H83" s="297"/>
      <c r="I83" s="297"/>
      <c r="J83" s="297"/>
      <c r="K83" s="297"/>
      <c r="L83" s="297"/>
      <c r="M83" s="297"/>
      <c r="N83" s="297"/>
      <c r="O83" s="297"/>
      <c r="P83" s="297"/>
      <c r="Q83" s="297"/>
      <c r="R83" s="297"/>
    </row>
    <row r="84" spans="1:18">
      <c r="A84" s="297"/>
      <c r="B84" s="696"/>
      <c r="C84" s="72" t="s">
        <v>103</v>
      </c>
      <c r="D84" s="106">
        <v>267</v>
      </c>
      <c r="E84" s="297"/>
      <c r="F84" s="297"/>
      <c r="G84" s="297"/>
      <c r="H84" s="297"/>
      <c r="I84" s="297"/>
      <c r="J84" s="297"/>
      <c r="K84" s="297"/>
      <c r="L84" s="297"/>
      <c r="M84" s="297"/>
      <c r="N84" s="297"/>
      <c r="O84" s="297"/>
      <c r="P84" s="297"/>
      <c r="Q84" s="297"/>
      <c r="R84" s="297"/>
    </row>
    <row r="85" spans="1:18">
      <c r="A85" s="297"/>
      <c r="B85" s="696"/>
      <c r="C85" s="70" t="s">
        <v>292</v>
      </c>
      <c r="D85" s="107">
        <v>267.72186126240001</v>
      </c>
      <c r="E85" s="297"/>
      <c r="F85" s="297"/>
      <c r="G85" s="297"/>
      <c r="H85" s="297"/>
      <c r="I85" s="297"/>
      <c r="J85" s="297"/>
      <c r="K85" s="297"/>
      <c r="L85" s="297"/>
      <c r="M85" s="297"/>
      <c r="N85" s="297"/>
      <c r="O85" s="297"/>
      <c r="P85" s="297"/>
      <c r="Q85" s="297"/>
      <c r="R85" s="297"/>
    </row>
    <row r="86" spans="1:18">
      <c r="A86" s="297"/>
      <c r="B86" s="696"/>
      <c r="C86" s="71" t="s">
        <v>95</v>
      </c>
      <c r="D86" s="108">
        <v>255.64252484356146</v>
      </c>
      <c r="E86" s="297"/>
      <c r="F86" s="297"/>
      <c r="G86" s="297"/>
      <c r="H86" s="297"/>
      <c r="I86" s="297"/>
      <c r="J86" s="297"/>
      <c r="K86" s="297"/>
      <c r="L86" s="297"/>
      <c r="M86" s="297"/>
      <c r="N86" s="297"/>
      <c r="O86" s="297"/>
      <c r="P86" s="297"/>
      <c r="Q86" s="297"/>
      <c r="R86" s="297"/>
    </row>
    <row r="87" spans="1:18">
      <c r="A87" s="297"/>
      <c r="B87" s="696"/>
      <c r="C87" s="26" t="s">
        <v>2</v>
      </c>
      <c r="D87" s="106">
        <v>364</v>
      </c>
      <c r="E87" s="297"/>
      <c r="F87" s="297"/>
      <c r="G87" s="297"/>
      <c r="H87" s="297"/>
      <c r="I87" s="297"/>
      <c r="J87" s="297"/>
      <c r="K87" s="297"/>
      <c r="L87" s="297"/>
      <c r="M87" s="297"/>
      <c r="N87" s="297"/>
      <c r="O87" s="297"/>
      <c r="P87" s="297"/>
      <c r="Q87" s="297"/>
      <c r="R87" s="297"/>
    </row>
    <row r="88" spans="1:18">
      <c r="A88" s="297"/>
      <c r="B88" s="696"/>
      <c r="C88" s="70" t="s">
        <v>104</v>
      </c>
      <c r="D88" s="107">
        <v>343.13095245599999</v>
      </c>
      <c r="E88" s="297"/>
      <c r="F88" s="297"/>
      <c r="G88" s="297"/>
      <c r="H88" s="297"/>
      <c r="I88" s="297"/>
      <c r="J88" s="297"/>
      <c r="K88" s="297"/>
      <c r="L88" s="297"/>
      <c r="M88" s="297"/>
      <c r="N88" s="297"/>
      <c r="O88" s="297"/>
      <c r="P88" s="297"/>
      <c r="Q88" s="297"/>
      <c r="R88" s="297"/>
    </row>
    <row r="89" spans="1:18" ht="30">
      <c r="A89" s="297"/>
      <c r="B89" s="696"/>
      <c r="C89" s="73" t="s">
        <v>105</v>
      </c>
      <c r="D89" s="108">
        <v>351.97702446240004</v>
      </c>
      <c r="E89" s="297"/>
      <c r="F89" s="297"/>
      <c r="G89" s="297"/>
      <c r="H89" s="297"/>
      <c r="I89" s="297"/>
      <c r="J89" s="297"/>
      <c r="K89" s="297"/>
      <c r="L89" s="297"/>
      <c r="M89" s="297"/>
      <c r="N89" s="297"/>
      <c r="O89" s="297"/>
      <c r="P89" s="297"/>
      <c r="Q89" s="297"/>
      <c r="R89" s="297"/>
    </row>
    <row r="90" spans="1:18" s="68" customFormat="1">
      <c r="A90" s="297"/>
      <c r="B90" s="696"/>
      <c r="C90" s="72" t="s">
        <v>269</v>
      </c>
      <c r="D90" s="112">
        <v>258.9902898624</v>
      </c>
      <c r="E90" s="297"/>
      <c r="F90" s="297"/>
      <c r="G90" s="297"/>
      <c r="H90" s="297"/>
      <c r="I90" s="297"/>
      <c r="J90" s="297"/>
      <c r="K90" s="297"/>
      <c r="L90" s="297"/>
      <c r="M90" s="297"/>
      <c r="N90" s="297"/>
      <c r="O90" s="297"/>
      <c r="P90" s="297"/>
      <c r="Q90" s="297"/>
      <c r="R90" s="297"/>
    </row>
    <row r="91" spans="1:18">
      <c r="A91" s="297"/>
      <c r="B91" s="697"/>
      <c r="C91" s="70" t="s">
        <v>390</v>
      </c>
      <c r="D91" s="107">
        <v>279.60399966239999</v>
      </c>
      <c r="E91" s="297"/>
      <c r="F91" s="297"/>
      <c r="G91" s="297"/>
      <c r="H91" s="297"/>
      <c r="I91" s="297"/>
      <c r="J91" s="297"/>
      <c r="K91" s="297"/>
      <c r="L91" s="297"/>
      <c r="M91" s="297"/>
      <c r="N91" s="297"/>
      <c r="O91" s="297"/>
      <c r="P91" s="297"/>
      <c r="Q91" s="297"/>
      <c r="R91" s="297"/>
    </row>
    <row r="92" spans="1:18">
      <c r="A92" s="297"/>
      <c r="B92" s="698" t="s">
        <v>107</v>
      </c>
      <c r="C92" s="72" t="s">
        <v>106</v>
      </c>
      <c r="D92" s="106"/>
      <c r="E92" s="297"/>
      <c r="F92" s="297"/>
      <c r="G92" s="297"/>
      <c r="H92" s="297"/>
      <c r="I92" s="297"/>
      <c r="J92" s="297"/>
      <c r="K92" s="297"/>
      <c r="L92" s="297"/>
      <c r="M92" s="297"/>
      <c r="N92" s="297"/>
      <c r="O92" s="297"/>
      <c r="P92" s="297"/>
      <c r="Q92" s="297"/>
      <c r="R92" s="297"/>
    </row>
    <row r="93" spans="1:18">
      <c r="A93" s="297"/>
      <c r="B93" s="699"/>
      <c r="C93" s="70" t="s">
        <v>108</v>
      </c>
      <c r="D93" s="110"/>
      <c r="E93" s="297"/>
      <c r="F93" s="297"/>
      <c r="G93" s="297"/>
      <c r="H93" s="297"/>
      <c r="I93" s="297"/>
      <c r="J93" s="297"/>
      <c r="K93" s="297"/>
      <c r="L93" s="297"/>
      <c r="M93" s="297"/>
      <c r="N93" s="297"/>
      <c r="O93" s="297"/>
      <c r="P93" s="297"/>
      <c r="Q93" s="297"/>
      <c r="R93" s="297"/>
    </row>
    <row r="94" spans="1:18">
      <c r="A94" s="297"/>
      <c r="B94" s="699"/>
      <c r="C94" s="71" t="s">
        <v>109</v>
      </c>
      <c r="D94" s="109">
        <v>0</v>
      </c>
      <c r="E94" s="297"/>
      <c r="F94" s="297"/>
      <c r="G94" s="297"/>
      <c r="H94" s="297"/>
      <c r="I94" s="297"/>
      <c r="J94" s="297"/>
      <c r="K94" s="297"/>
      <c r="L94" s="297"/>
      <c r="M94" s="297"/>
      <c r="N94" s="297"/>
      <c r="O94" s="297"/>
      <c r="P94" s="297"/>
      <c r="Q94" s="297"/>
      <c r="R94" s="297"/>
    </row>
    <row r="95" spans="1:18">
      <c r="A95" s="297"/>
      <c r="B95" s="699"/>
      <c r="C95" s="72" t="s">
        <v>110</v>
      </c>
      <c r="D95" s="106">
        <v>0</v>
      </c>
      <c r="E95" s="297"/>
      <c r="F95" s="297"/>
      <c r="G95" s="297"/>
      <c r="H95" s="297"/>
      <c r="I95" s="297"/>
      <c r="J95" s="297"/>
      <c r="K95" s="297"/>
      <c r="L95" s="297"/>
      <c r="M95" s="297"/>
      <c r="N95" s="297"/>
      <c r="O95" s="297"/>
      <c r="P95" s="297"/>
      <c r="Q95" s="297"/>
      <c r="R95" s="297"/>
    </row>
    <row r="96" spans="1:18" ht="15.75" thickBot="1">
      <c r="A96" s="297"/>
      <c r="B96" s="700"/>
      <c r="C96" s="74" t="s">
        <v>111</v>
      </c>
      <c r="D96" s="111"/>
      <c r="E96" s="297"/>
      <c r="F96" s="297"/>
      <c r="G96" s="297"/>
      <c r="H96" s="297"/>
      <c r="I96" s="297"/>
      <c r="J96" s="297"/>
      <c r="K96" s="297"/>
      <c r="L96" s="297"/>
      <c r="M96" s="297"/>
      <c r="N96" s="297"/>
      <c r="O96" s="297"/>
      <c r="P96" s="297"/>
      <c r="Q96" s="297"/>
      <c r="R96" s="297"/>
    </row>
    <row r="97" spans="1:18">
      <c r="A97" s="297"/>
      <c r="B97" s="297"/>
      <c r="C97" s="297"/>
      <c r="D97" s="297"/>
      <c r="E97" s="297"/>
      <c r="F97" s="297"/>
      <c r="G97" s="297"/>
      <c r="H97" s="297"/>
      <c r="I97" s="297"/>
      <c r="J97" s="297"/>
      <c r="K97" s="297"/>
      <c r="L97" s="297"/>
      <c r="M97" s="297"/>
      <c r="N97" s="297"/>
      <c r="O97" s="297"/>
      <c r="P97" s="297"/>
      <c r="Q97" s="297"/>
      <c r="R97" s="297"/>
    </row>
    <row r="98" spans="1:18">
      <c r="A98" s="297"/>
      <c r="B98" s="297"/>
      <c r="C98" s="297"/>
      <c r="D98" s="297"/>
      <c r="E98" s="297"/>
      <c r="F98" s="297"/>
      <c r="G98" s="297"/>
      <c r="H98" s="297"/>
      <c r="I98" s="297"/>
      <c r="J98" s="297"/>
      <c r="K98" s="297"/>
      <c r="L98" s="297"/>
      <c r="M98" s="297"/>
      <c r="N98" s="297"/>
      <c r="O98" s="297"/>
      <c r="P98" s="297"/>
      <c r="Q98" s="297"/>
      <c r="R98" s="297"/>
    </row>
    <row r="99" spans="1:18">
      <c r="A99" s="4"/>
      <c r="B99" s="4"/>
      <c r="C99" s="4"/>
      <c r="D99" s="4"/>
      <c r="E99" s="4"/>
      <c r="F99" s="4"/>
      <c r="G99" s="4"/>
      <c r="H99" s="4"/>
      <c r="I99" s="4"/>
      <c r="J99" s="4"/>
      <c r="K99" s="4"/>
      <c r="L99" s="4"/>
      <c r="M99" s="4"/>
      <c r="N99" s="4"/>
      <c r="O99" s="4"/>
      <c r="P99" s="4"/>
      <c r="Q99" s="4"/>
      <c r="R99" s="4"/>
    </row>
    <row r="140" spans="4:4">
      <c r="D140" s="3">
        <f>(Tert_Elec_F11*mun_population_E22/Tun_pop) -'7-IRE'!C9 - '7-IRE'!C12</f>
        <v>1601.2341438318426</v>
      </c>
    </row>
  </sheetData>
  <sheetProtection sheet="1" objects="1" scenarios="1"/>
  <mergeCells count="37">
    <mergeCell ref="B78:D78"/>
    <mergeCell ref="B82:B91"/>
    <mergeCell ref="B92:B96"/>
    <mergeCell ref="B80:C80"/>
    <mergeCell ref="B81:C81"/>
    <mergeCell ref="B79:C79"/>
    <mergeCell ref="A1:R2"/>
    <mergeCell ref="B28:B30"/>
    <mergeCell ref="B27:F27"/>
    <mergeCell ref="B12:F12"/>
    <mergeCell ref="B13:B14"/>
    <mergeCell ref="C13:F13"/>
    <mergeCell ref="B63:D63"/>
    <mergeCell ref="T28:T30"/>
    <mergeCell ref="C28:F28"/>
    <mergeCell ref="AM29:AR29"/>
    <mergeCell ref="AG29:AL29"/>
    <mergeCell ref="AA29:AF29"/>
    <mergeCell ref="U29:Z29"/>
    <mergeCell ref="B45:B46"/>
    <mergeCell ref="B54:B55"/>
    <mergeCell ref="B53:C53"/>
    <mergeCell ref="C45:H45"/>
    <mergeCell ref="B44:H44"/>
    <mergeCell ref="U28:AX28"/>
    <mergeCell ref="AS29:AX29"/>
    <mergeCell ref="BY29:CD29"/>
    <mergeCell ref="BA28:CD28"/>
    <mergeCell ref="AZ27:CD27"/>
    <mergeCell ref="G31:G40"/>
    <mergeCell ref="F63:H63"/>
    <mergeCell ref="BS29:BX29"/>
    <mergeCell ref="BA29:BF29"/>
    <mergeCell ref="BG29:BL29"/>
    <mergeCell ref="AZ28:AZ30"/>
    <mergeCell ref="BM29:BR29"/>
    <mergeCell ref="T27:AX27"/>
  </mergeCells>
  <dataValidations count="1">
    <dataValidation type="list" showInputMessage="1" showErrorMessage="1" sqref="C7">
      <formula1>$S$7:$S$16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tabColor theme="7" tint="0.59999389629810485"/>
  </sheetPr>
  <dimension ref="A1:AJ55"/>
  <sheetViews>
    <sheetView zoomScale="71" zoomScaleNormal="71" workbookViewId="0">
      <selection activeCell="D8" sqref="D8"/>
    </sheetView>
  </sheetViews>
  <sheetFormatPr baseColWidth="10" defaultColWidth="9.140625" defaultRowHeight="15"/>
  <cols>
    <col min="1" max="1" width="36.140625" style="7" customWidth="1"/>
    <col min="2" max="2" width="56.42578125" style="7" customWidth="1"/>
    <col min="3" max="3" width="27.5703125" style="7" customWidth="1"/>
    <col min="4" max="4" width="14.140625" style="7" customWidth="1"/>
    <col min="5" max="6" width="17" style="7" customWidth="1"/>
    <col min="7" max="7" width="15.42578125" style="7" customWidth="1"/>
    <col min="8" max="8" width="17.140625" style="7" customWidth="1"/>
    <col min="9" max="9" width="21.85546875" style="7" customWidth="1"/>
    <col min="10" max="10" width="30.28515625" style="7" customWidth="1"/>
    <col min="11" max="11" width="20.42578125" style="7" customWidth="1"/>
    <col min="12" max="12" width="15.7109375" style="7" customWidth="1"/>
    <col min="13" max="13" width="15.5703125" style="7" customWidth="1"/>
    <col min="14" max="14" width="18.85546875" style="7" customWidth="1"/>
    <col min="15" max="15" width="21.5703125" style="7" customWidth="1"/>
    <col min="16" max="16" width="23.7109375" style="7" customWidth="1"/>
    <col min="17" max="17" width="24.140625" style="7" customWidth="1"/>
    <col min="18" max="16384" width="9.140625" style="7"/>
  </cols>
  <sheetData>
    <row r="1" spans="1:36" ht="53.25" customHeight="1">
      <c r="A1" s="709" t="s">
        <v>112</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row>
    <row r="2" spans="1:36" ht="6"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0"/>
      <c r="AB2" s="10"/>
      <c r="AC2" s="10"/>
      <c r="AD2" s="10"/>
      <c r="AE2" s="10"/>
      <c r="AF2" s="10"/>
      <c r="AG2" s="10"/>
      <c r="AH2" s="10"/>
      <c r="AI2" s="10"/>
      <c r="AJ2" s="10"/>
    </row>
    <row r="3" spans="1:36">
      <c r="A3" s="219"/>
      <c r="B3" s="219"/>
      <c r="C3" s="219"/>
      <c r="D3" s="219"/>
      <c r="E3" s="219"/>
      <c r="F3" s="219"/>
      <c r="G3" s="219"/>
      <c r="H3" s="219"/>
      <c r="I3" s="219"/>
      <c r="J3" s="219"/>
      <c r="K3" s="219"/>
      <c r="L3" s="219"/>
      <c r="M3" s="219"/>
      <c r="N3" s="219"/>
      <c r="O3" s="219"/>
      <c r="P3" s="219"/>
      <c r="Q3" s="219"/>
      <c r="R3" s="8"/>
      <c r="S3" s="8"/>
      <c r="T3" s="8"/>
      <c r="U3" s="8"/>
      <c r="V3" s="8"/>
      <c r="W3" s="8"/>
      <c r="X3" s="8"/>
      <c r="Y3" s="8"/>
      <c r="Z3" s="8"/>
      <c r="AA3" s="9"/>
      <c r="AB3" s="9"/>
    </row>
    <row r="4" spans="1:36" ht="15.75">
      <c r="A4" s="18" t="s">
        <v>113</v>
      </c>
      <c r="B4" s="220"/>
      <c r="C4" s="221"/>
      <c r="D4" s="221"/>
      <c r="E4" s="221"/>
      <c r="F4" s="221"/>
      <c r="G4" s="221"/>
      <c r="H4" s="221"/>
      <c r="I4" s="221"/>
      <c r="J4" s="221"/>
      <c r="K4" s="221"/>
      <c r="L4" s="221"/>
      <c r="M4" s="253"/>
      <c r="N4" s="253"/>
      <c r="O4" s="253"/>
      <c r="P4" s="253"/>
      <c r="Q4" s="253"/>
      <c r="R4" s="6"/>
      <c r="S4" s="8"/>
      <c r="T4" s="8"/>
      <c r="U4" s="8"/>
      <c r="V4" s="8"/>
      <c r="W4" s="8"/>
      <c r="X4" s="8"/>
      <c r="Y4" s="8"/>
      <c r="Z4" s="8"/>
      <c r="AA4" s="9"/>
      <c r="AB4" s="9"/>
    </row>
    <row r="5" spans="1:36">
      <c r="A5" s="219"/>
      <c r="B5" s="219"/>
      <c r="C5" s="219"/>
      <c r="D5" s="219"/>
      <c r="E5" s="219"/>
      <c r="F5" s="219"/>
      <c r="G5" s="219"/>
      <c r="H5" s="219"/>
      <c r="I5" s="219"/>
      <c r="J5" s="219"/>
      <c r="K5" s="219"/>
      <c r="L5" s="219"/>
      <c r="M5" s="219"/>
      <c r="N5" s="219"/>
      <c r="O5" s="219"/>
      <c r="P5" s="324"/>
      <c r="Q5" s="324"/>
      <c r="R5" s="8"/>
      <c r="S5" s="8"/>
      <c r="T5" s="8"/>
      <c r="U5" s="8"/>
      <c r="V5" s="8"/>
      <c r="W5" s="8"/>
      <c r="X5" s="8"/>
      <c r="Y5" s="8"/>
      <c r="Z5" s="8"/>
    </row>
    <row r="6" spans="1:36" ht="18.75">
      <c r="A6" s="729" t="s">
        <v>6</v>
      </c>
      <c r="B6" s="729" t="s">
        <v>7</v>
      </c>
      <c r="C6" s="729" t="s">
        <v>114</v>
      </c>
      <c r="D6" s="729" t="s">
        <v>115</v>
      </c>
      <c r="E6" s="729" t="s">
        <v>93</v>
      </c>
      <c r="F6" s="729" t="s">
        <v>89</v>
      </c>
      <c r="G6" s="729" t="s">
        <v>116</v>
      </c>
      <c r="H6" s="219"/>
      <c r="I6" s="727" t="s">
        <v>251</v>
      </c>
      <c r="J6" s="727"/>
      <c r="K6" s="727"/>
      <c r="L6" s="727"/>
      <c r="M6" s="219"/>
      <c r="N6" s="219"/>
      <c r="O6" s="219"/>
      <c r="P6" s="325"/>
      <c r="Q6" s="325"/>
      <c r="R6" s="13"/>
      <c r="S6" s="8"/>
      <c r="T6" s="8"/>
      <c r="U6" s="8"/>
      <c r="V6" s="8"/>
      <c r="W6" s="8"/>
      <c r="X6" s="8"/>
      <c r="Y6" s="8"/>
      <c r="Z6" s="8"/>
    </row>
    <row r="7" spans="1:36">
      <c r="A7" s="729"/>
      <c r="B7" s="729"/>
      <c r="C7" s="729"/>
      <c r="D7" s="729"/>
      <c r="E7" s="729"/>
      <c r="F7" s="729"/>
      <c r="G7" s="729"/>
      <c r="H7" s="219"/>
      <c r="I7" s="231" t="s">
        <v>276</v>
      </c>
      <c r="J7" s="231" t="s">
        <v>382</v>
      </c>
      <c r="K7" s="231" t="s">
        <v>383</v>
      </c>
      <c r="L7" s="231" t="s">
        <v>384</v>
      </c>
      <c r="M7" s="219"/>
      <c r="N7" s="219"/>
      <c r="O7" s="219"/>
      <c r="P7" s="219"/>
      <c r="Q7" s="219"/>
      <c r="R7" s="8"/>
      <c r="S7" s="8"/>
      <c r="T7" s="8"/>
      <c r="U7" s="8"/>
      <c r="V7" s="8"/>
      <c r="W7" s="8"/>
      <c r="X7" s="8"/>
      <c r="Y7" s="8"/>
      <c r="Z7" s="8"/>
    </row>
    <row r="8" spans="1:36" ht="15.75">
      <c r="A8" s="725" t="s">
        <v>117</v>
      </c>
      <c r="B8" s="563" t="s">
        <v>396</v>
      </c>
      <c r="C8" s="222" t="s">
        <v>278</v>
      </c>
      <c r="D8" s="61"/>
      <c r="E8" s="223" t="s">
        <v>21</v>
      </c>
      <c r="F8" s="222">
        <f>'2-Données générales'!$C$7</f>
        <v>2013</v>
      </c>
      <c r="G8" s="222" t="s">
        <v>68</v>
      </c>
      <c r="H8" s="219"/>
      <c r="I8" s="232">
        <f>D8/'2-Données générales'!$C$56</f>
        <v>0</v>
      </c>
      <c r="J8" s="233">
        <v>6.256610673885373E-3</v>
      </c>
      <c r="K8" s="233">
        <v>4.5562543675751223E-3</v>
      </c>
      <c r="L8" s="233">
        <v>4.4423671532321848E-3</v>
      </c>
      <c r="M8" s="219"/>
      <c r="N8" s="219"/>
      <c r="O8" s="219"/>
      <c r="P8" s="219"/>
      <c r="Q8" s="219"/>
      <c r="R8" s="8"/>
      <c r="S8" s="8"/>
      <c r="T8" s="8"/>
      <c r="U8" s="8"/>
      <c r="V8" s="8"/>
      <c r="W8" s="8"/>
      <c r="X8" s="8"/>
      <c r="Y8" s="8"/>
      <c r="Z8" s="8"/>
    </row>
    <row r="9" spans="1:36" ht="15.75">
      <c r="A9" s="725"/>
      <c r="B9" s="563" t="s">
        <v>397</v>
      </c>
      <c r="C9" s="222" t="s">
        <v>278</v>
      </c>
      <c r="D9" s="61"/>
      <c r="E9" s="223" t="s">
        <v>21</v>
      </c>
      <c r="F9" s="222">
        <f>'2-Données générales'!$C$7</f>
        <v>2013</v>
      </c>
      <c r="G9" s="222" t="s">
        <v>68</v>
      </c>
      <c r="H9" s="219"/>
      <c r="I9" s="232">
        <f>D9/'2-Données générales'!$C$56</f>
        <v>0</v>
      </c>
      <c r="J9" s="234">
        <v>0</v>
      </c>
      <c r="K9" s="234">
        <v>0</v>
      </c>
      <c r="L9" s="234">
        <v>0</v>
      </c>
      <c r="M9" s="219"/>
      <c r="N9" s="219"/>
      <c r="O9" s="219"/>
      <c r="P9" s="219"/>
      <c r="Q9" s="219"/>
      <c r="R9" s="8"/>
      <c r="S9" s="8"/>
      <c r="T9" s="8"/>
      <c r="U9" s="8"/>
      <c r="V9" s="8"/>
      <c r="W9" s="8"/>
      <c r="X9" s="8"/>
      <c r="Y9" s="8"/>
      <c r="Z9" s="8"/>
    </row>
    <row r="10" spans="1:36" ht="15.75">
      <c r="A10" s="725"/>
      <c r="B10" s="563" t="s">
        <v>277</v>
      </c>
      <c r="C10" s="222" t="s">
        <v>278</v>
      </c>
      <c r="D10" s="61"/>
      <c r="E10" s="223" t="s">
        <v>21</v>
      </c>
      <c r="F10" s="222">
        <f>'2-Données générales'!$C$7</f>
        <v>2013</v>
      </c>
      <c r="G10" s="222" t="s">
        <v>68</v>
      </c>
      <c r="H10" s="219"/>
      <c r="I10" s="232">
        <f>D10/'2-Données générales'!$C$56</f>
        <v>0</v>
      </c>
      <c r="J10" s="235">
        <v>3.1968165683655722E-2</v>
      </c>
      <c r="K10" s="235">
        <v>3.3633822501747027E-2</v>
      </c>
      <c r="L10" s="235">
        <v>2.8302293808873228E-2</v>
      </c>
      <c r="M10" s="219"/>
      <c r="N10" s="219"/>
      <c r="O10" s="219"/>
      <c r="P10" s="219"/>
      <c r="Q10" s="219"/>
      <c r="R10" s="8"/>
      <c r="S10" s="8"/>
      <c r="T10" s="8"/>
      <c r="U10" s="8"/>
      <c r="V10" s="8"/>
      <c r="W10" s="8"/>
      <c r="X10" s="8"/>
      <c r="Y10" s="8"/>
      <c r="Z10" s="8"/>
    </row>
    <row r="11" spans="1:36" ht="15.75">
      <c r="A11" s="730" t="s">
        <v>118</v>
      </c>
      <c r="B11" s="564" t="s">
        <v>398</v>
      </c>
      <c r="C11" s="224" t="s">
        <v>278</v>
      </c>
      <c r="D11" s="61"/>
      <c r="E11" s="225" t="s">
        <v>29</v>
      </c>
      <c r="F11" s="224">
        <f>'2-Données générales'!$C$7</f>
        <v>2013</v>
      </c>
      <c r="G11" s="224" t="s">
        <v>68</v>
      </c>
      <c r="H11" s="219"/>
      <c r="I11" s="236">
        <f>D11*LPG_conv_C50/'2-Données générales'!$C$56</f>
        <v>0</v>
      </c>
      <c r="J11" s="233">
        <v>0</v>
      </c>
      <c r="K11" s="233">
        <v>0</v>
      </c>
      <c r="L11" s="233">
        <v>0</v>
      </c>
      <c r="M11" s="219"/>
      <c r="N11" s="219"/>
      <c r="O11" s="219"/>
      <c r="P11" s="219"/>
      <c r="Q11" s="219"/>
      <c r="R11" s="8"/>
      <c r="S11" s="8"/>
      <c r="T11" s="8"/>
      <c r="U11" s="8"/>
      <c r="V11" s="8"/>
      <c r="W11" s="8"/>
      <c r="X11" s="8"/>
      <c r="Y11" s="8"/>
      <c r="Z11" s="8"/>
    </row>
    <row r="12" spans="1:36" ht="15.75">
      <c r="A12" s="731"/>
      <c r="B12" s="564" t="s">
        <v>399</v>
      </c>
      <c r="C12" s="224" t="s">
        <v>278</v>
      </c>
      <c r="D12" s="61"/>
      <c r="E12" s="226" t="s">
        <v>29</v>
      </c>
      <c r="F12" s="224">
        <f>'2-Données générales'!$C$7</f>
        <v>2013</v>
      </c>
      <c r="G12" s="224" t="s">
        <v>68</v>
      </c>
      <c r="H12" s="219"/>
      <c r="I12" s="236">
        <f>D12*LPG_conv_C50/'2-Données générales'!$C$56</f>
        <v>0</v>
      </c>
      <c r="J12" s="234">
        <v>0</v>
      </c>
      <c r="K12" s="234">
        <v>0</v>
      </c>
      <c r="L12" s="234">
        <v>0</v>
      </c>
      <c r="M12" s="219"/>
      <c r="N12" s="219"/>
      <c r="O12" s="219"/>
      <c r="P12" s="219"/>
      <c r="Q12" s="219"/>
      <c r="R12" s="8"/>
      <c r="S12" s="8"/>
      <c r="T12" s="8"/>
      <c r="U12" s="8"/>
      <c r="V12" s="8"/>
      <c r="W12" s="8"/>
      <c r="X12" s="8"/>
      <c r="Y12" s="8"/>
      <c r="Z12" s="8"/>
    </row>
    <row r="13" spans="1:36" ht="15.75">
      <c r="A13" s="732"/>
      <c r="B13" s="563" t="s">
        <v>400</v>
      </c>
      <c r="C13" s="222" t="s">
        <v>278</v>
      </c>
      <c r="D13" s="61"/>
      <c r="E13" s="225" t="s">
        <v>29</v>
      </c>
      <c r="F13" s="222">
        <f>'2-Données générales'!$C$7</f>
        <v>2013</v>
      </c>
      <c r="G13" s="222" t="s">
        <v>68</v>
      </c>
      <c r="H13" s="219"/>
      <c r="I13" s="236">
        <f>D13*LPG_conv_C50/'2-Données générales'!$C$56</f>
        <v>0</v>
      </c>
      <c r="J13" s="235">
        <v>0</v>
      </c>
      <c r="K13" s="235">
        <v>0</v>
      </c>
      <c r="L13" s="235">
        <v>0</v>
      </c>
      <c r="M13" s="219"/>
      <c r="N13" s="219"/>
      <c r="O13" s="219"/>
      <c r="P13" s="219"/>
      <c r="Q13" s="219"/>
      <c r="R13" s="8"/>
      <c r="S13" s="8"/>
      <c r="T13" s="8"/>
      <c r="U13" s="8"/>
      <c r="V13" s="8"/>
      <c r="W13" s="8"/>
      <c r="X13" s="8"/>
      <c r="Y13" s="8"/>
      <c r="Z13" s="8"/>
    </row>
    <row r="14" spans="1:36" ht="15.75">
      <c r="A14" s="728" t="s">
        <v>395</v>
      </c>
      <c r="B14" s="565" t="s">
        <v>405</v>
      </c>
      <c r="C14" s="227" t="s">
        <v>278</v>
      </c>
      <c r="D14" s="61"/>
      <c r="E14" s="228" t="s">
        <v>279</v>
      </c>
      <c r="F14" s="227">
        <f>'2-Données générales'!$C$7</f>
        <v>2013</v>
      </c>
      <c r="G14" s="227" t="s">
        <v>68</v>
      </c>
      <c r="H14" s="219"/>
      <c r="I14" s="236">
        <f>D14*Diesel_conv_C48/'2-Données générales'!$C$56</f>
        <v>0</v>
      </c>
      <c r="J14" s="233">
        <v>0</v>
      </c>
      <c r="K14" s="233">
        <v>0</v>
      </c>
      <c r="L14" s="233">
        <v>0</v>
      </c>
      <c r="M14" s="219"/>
      <c r="N14" s="219"/>
      <c r="O14" s="219"/>
      <c r="P14" s="219"/>
      <c r="Q14" s="219"/>
      <c r="R14" s="8"/>
      <c r="S14" s="8"/>
      <c r="T14" s="8"/>
      <c r="U14" s="8"/>
      <c r="V14" s="8"/>
      <c r="W14" s="8"/>
      <c r="X14" s="8"/>
      <c r="Y14" s="8"/>
      <c r="Z14" s="8"/>
    </row>
    <row r="15" spans="1:36" ht="15.75">
      <c r="A15" s="728"/>
      <c r="B15" s="565" t="s">
        <v>406</v>
      </c>
      <c r="C15" s="222" t="s">
        <v>278</v>
      </c>
      <c r="D15" s="61"/>
      <c r="E15" s="228" t="s">
        <v>279</v>
      </c>
      <c r="F15" s="222">
        <f>'2-Données générales'!$C$7</f>
        <v>2013</v>
      </c>
      <c r="G15" s="222" t="s">
        <v>68</v>
      </c>
      <c r="H15" s="219"/>
      <c r="I15" s="236">
        <f>D15*Diesel_conv_C48/'2-Données générales'!$C$56</f>
        <v>0</v>
      </c>
      <c r="J15" s="237">
        <v>1.6658898191140352E-2</v>
      </c>
      <c r="K15" s="237">
        <v>2.5513626834381551E-2</v>
      </c>
      <c r="L15" s="237">
        <v>1.7483709269587977E-2</v>
      </c>
      <c r="M15" s="219"/>
      <c r="N15" s="219"/>
      <c r="O15" s="219"/>
      <c r="P15" s="219"/>
      <c r="Q15" s="219"/>
      <c r="R15" s="8"/>
      <c r="S15" s="8"/>
      <c r="T15" s="8"/>
      <c r="U15" s="8"/>
      <c r="V15" s="8"/>
      <c r="W15" s="8"/>
      <c r="X15" s="8"/>
      <c r="Y15" s="8"/>
      <c r="Z15" s="8"/>
    </row>
    <row r="16" spans="1:36" ht="15.75">
      <c r="A16" s="728"/>
      <c r="B16" s="565" t="s">
        <v>407</v>
      </c>
      <c r="C16" s="222" t="s">
        <v>278</v>
      </c>
      <c r="D16" s="61"/>
      <c r="E16" s="228" t="s">
        <v>279</v>
      </c>
      <c r="F16" s="222">
        <f>'2-Données générales'!$C$7</f>
        <v>2013</v>
      </c>
      <c r="G16" s="222" t="s">
        <v>68</v>
      </c>
      <c r="H16" s="219"/>
      <c r="I16" s="236">
        <f>D16*Diesel_conv_C48/'2-Données générales'!$C$56</f>
        <v>0</v>
      </c>
      <c r="J16" s="233">
        <v>0</v>
      </c>
      <c r="K16" s="233">
        <v>0</v>
      </c>
      <c r="L16" s="233">
        <v>0</v>
      </c>
      <c r="M16" s="219"/>
      <c r="N16" s="219"/>
      <c r="O16" s="219"/>
      <c r="P16" s="219"/>
      <c r="Q16" s="219"/>
      <c r="R16" s="8"/>
      <c r="S16" s="8"/>
      <c r="T16" s="8"/>
      <c r="U16" s="8"/>
      <c r="V16" s="8"/>
      <c r="W16" s="8"/>
      <c r="X16" s="8"/>
      <c r="Y16" s="8"/>
      <c r="Z16" s="8"/>
    </row>
    <row r="17" spans="1:28" ht="15.75">
      <c r="A17" s="725" t="s">
        <v>119</v>
      </c>
      <c r="B17" s="563" t="s">
        <v>401</v>
      </c>
      <c r="C17" s="222" t="s">
        <v>278</v>
      </c>
      <c r="D17" s="61"/>
      <c r="E17" s="228" t="s">
        <v>279</v>
      </c>
      <c r="F17" s="222">
        <f>'2-Données générales'!$C$7</f>
        <v>2013</v>
      </c>
      <c r="G17" s="222" t="s">
        <v>68</v>
      </c>
      <c r="H17" s="219"/>
      <c r="I17" s="236">
        <f>D17*Gasoline_conv_C49/'2-Données générales'!$C$56</f>
        <v>0</v>
      </c>
      <c r="J17" s="234">
        <v>0</v>
      </c>
      <c r="K17" s="234">
        <v>0</v>
      </c>
      <c r="L17" s="234">
        <v>0</v>
      </c>
      <c r="M17" s="219"/>
      <c r="N17" s="219"/>
      <c r="O17" s="219"/>
      <c r="P17" s="219"/>
      <c r="Q17" s="219"/>
      <c r="R17" s="8"/>
      <c r="S17" s="8"/>
      <c r="T17" s="8"/>
      <c r="U17" s="8"/>
      <c r="V17" s="8"/>
      <c r="W17" s="8"/>
      <c r="X17" s="8"/>
      <c r="Y17" s="8"/>
      <c r="Z17" s="8"/>
    </row>
    <row r="18" spans="1:28" ht="15.75">
      <c r="A18" s="725"/>
      <c r="B18" s="563" t="s">
        <v>402</v>
      </c>
      <c r="C18" s="224" t="s">
        <v>278</v>
      </c>
      <c r="D18" s="61"/>
      <c r="E18" s="228" t="s">
        <v>279</v>
      </c>
      <c r="F18" s="224">
        <f>'2-Données générales'!$C$7</f>
        <v>2013</v>
      </c>
      <c r="G18" s="224" t="s">
        <v>68</v>
      </c>
      <c r="H18" s="219"/>
      <c r="I18" s="236">
        <f>D18*Gasoline_conv_C49/'2-Données générales'!$C$56</f>
        <v>0</v>
      </c>
      <c r="J18" s="235">
        <v>1.45076280453918E-2</v>
      </c>
      <c r="K18" s="235">
        <v>1.0831586303284416E-4</v>
      </c>
      <c r="L18" s="235">
        <v>6.6941831090529963E-4</v>
      </c>
      <c r="M18" s="219"/>
      <c r="N18" s="219"/>
      <c r="O18" s="219"/>
      <c r="P18" s="219"/>
      <c r="Q18" s="219"/>
      <c r="R18" s="8"/>
      <c r="S18" s="8"/>
      <c r="T18" s="8"/>
      <c r="U18" s="8"/>
      <c r="V18" s="8"/>
      <c r="W18" s="8"/>
      <c r="X18" s="8"/>
      <c r="Y18" s="8"/>
      <c r="Z18" s="8"/>
    </row>
    <row r="19" spans="1:28" ht="15.75">
      <c r="A19" s="726"/>
      <c r="B19" s="566" t="s">
        <v>403</v>
      </c>
      <c r="C19" s="224" t="s">
        <v>278</v>
      </c>
      <c r="D19" s="160"/>
      <c r="E19" s="229" t="s">
        <v>279</v>
      </c>
      <c r="F19" s="224">
        <f>'2-Données générales'!$C$7</f>
        <v>2013</v>
      </c>
      <c r="G19" s="224" t="s">
        <v>68</v>
      </c>
      <c r="H19" s="219"/>
      <c r="I19" s="236">
        <f>D19*Gasoline_conv_C49/'2-Données générales'!$C$56</f>
        <v>0</v>
      </c>
      <c r="J19" s="233">
        <v>0</v>
      </c>
      <c r="K19" s="233">
        <v>0</v>
      </c>
      <c r="L19" s="233">
        <v>0</v>
      </c>
      <c r="M19" s="219"/>
      <c r="N19" s="219"/>
      <c r="O19" s="219"/>
      <c r="P19" s="219"/>
      <c r="Q19" s="219"/>
      <c r="R19" s="8"/>
      <c r="S19" s="8"/>
      <c r="T19" s="8"/>
      <c r="U19" s="8"/>
      <c r="V19" s="8"/>
      <c r="W19" s="8"/>
      <c r="X19" s="8"/>
      <c r="Y19" s="8"/>
      <c r="Z19" s="8"/>
    </row>
    <row r="20" spans="1:28" ht="18.75">
      <c r="A20" s="562" t="s">
        <v>336</v>
      </c>
      <c r="B20" s="567" t="s">
        <v>404</v>
      </c>
      <c r="C20" s="222" t="s">
        <v>278</v>
      </c>
      <c r="D20" s="161"/>
      <c r="E20" s="230" t="s">
        <v>40</v>
      </c>
      <c r="F20" s="222">
        <f>'2-Données générales'!$C$7</f>
        <v>2013</v>
      </c>
      <c r="G20" s="222" t="s">
        <v>68</v>
      </c>
      <c r="H20" s="219"/>
      <c r="I20" s="236">
        <f>D20*'2-Données générales'!C72/'2-Données générales'!$C$56</f>
        <v>0</v>
      </c>
      <c r="J20" s="234">
        <v>0</v>
      </c>
      <c r="K20" s="234">
        <v>5.1153039832285115E-3</v>
      </c>
      <c r="L20" s="234">
        <v>3.7135182915078732E-3</v>
      </c>
      <c r="M20" s="219"/>
      <c r="N20" s="219"/>
      <c r="O20" s="219"/>
      <c r="P20" s="219"/>
      <c r="Q20" s="219"/>
      <c r="R20" s="8"/>
      <c r="S20" s="8"/>
      <c r="T20" s="8"/>
      <c r="U20" s="8"/>
      <c r="V20" s="8"/>
      <c r="W20" s="8"/>
      <c r="X20" s="8"/>
      <c r="Y20" s="8"/>
      <c r="Z20" s="8"/>
    </row>
    <row r="21" spans="1:28">
      <c r="A21" s="219"/>
      <c r="B21" s="219"/>
      <c r="C21" s="219"/>
      <c r="D21" s="219"/>
      <c r="E21" s="219"/>
      <c r="F21" s="219"/>
      <c r="G21" s="219"/>
      <c r="H21" s="219"/>
      <c r="I21" s="219"/>
      <c r="J21" s="219"/>
      <c r="K21" s="219"/>
      <c r="L21" s="219"/>
      <c r="M21" s="219"/>
      <c r="N21" s="219"/>
      <c r="O21" s="219"/>
      <c r="P21" s="219"/>
      <c r="Q21" s="219"/>
      <c r="R21" s="8"/>
      <c r="S21" s="8"/>
      <c r="T21" s="8"/>
      <c r="U21" s="8"/>
      <c r="V21" s="8"/>
      <c r="W21" s="8"/>
      <c r="X21" s="8"/>
      <c r="Y21" s="8"/>
      <c r="Z21" s="8"/>
    </row>
    <row r="22" spans="1:28" ht="15.75">
      <c r="A22" s="18" t="s">
        <v>120</v>
      </c>
      <c r="B22" s="220"/>
      <c r="C22" s="221"/>
      <c r="D22" s="221"/>
      <c r="E22" s="221"/>
      <c r="F22" s="221"/>
      <c r="G22" s="221"/>
      <c r="H22" s="221"/>
      <c r="I22" s="18" t="s">
        <v>284</v>
      </c>
      <c r="J22" s="221"/>
      <c r="K22" s="221"/>
      <c r="L22" s="221"/>
      <c r="M22" s="253"/>
      <c r="N22" s="253"/>
      <c r="O22" s="253"/>
      <c r="P22" s="253"/>
      <c r="Q22" s="253"/>
      <c r="R22" s="6"/>
      <c r="S22" s="8"/>
      <c r="T22" s="8"/>
      <c r="U22" s="8"/>
      <c r="V22" s="8"/>
      <c r="W22" s="8"/>
      <c r="X22" s="8"/>
      <c r="Y22" s="8"/>
      <c r="Z22" s="8"/>
    </row>
    <row r="23" spans="1:28">
      <c r="A23" s="219"/>
      <c r="B23" s="219"/>
      <c r="C23" s="219"/>
      <c r="D23" s="219"/>
      <c r="E23" s="219"/>
      <c r="F23" s="219"/>
      <c r="G23" s="219"/>
      <c r="H23" s="219"/>
      <c r="I23" s="219"/>
      <c r="J23" s="219"/>
      <c r="K23" s="219"/>
      <c r="L23" s="219"/>
      <c r="M23" s="219"/>
      <c r="N23" s="219"/>
      <c r="O23" s="219"/>
      <c r="P23" s="219"/>
      <c r="Q23" s="219"/>
      <c r="R23" s="8"/>
      <c r="S23" s="8"/>
      <c r="T23" s="8"/>
      <c r="U23" s="8"/>
      <c r="V23" s="8"/>
      <c r="W23" s="8"/>
      <c r="X23" s="8"/>
      <c r="Y23" s="8"/>
      <c r="Z23" s="8"/>
      <c r="AA23" s="9"/>
      <c r="AB23" s="9"/>
    </row>
    <row r="24" spans="1:28" ht="18.75">
      <c r="A24" s="716" t="s">
        <v>280</v>
      </c>
      <c r="B24" s="717"/>
      <c r="C24" s="717"/>
      <c r="D24" s="717"/>
      <c r="E24" s="717"/>
      <c r="F24" s="717"/>
      <c r="G24" s="718"/>
      <c r="H24" s="219"/>
      <c r="I24" s="716" t="s">
        <v>281</v>
      </c>
      <c r="J24" s="717"/>
      <c r="K24" s="717" t="s">
        <v>5</v>
      </c>
      <c r="L24" s="717"/>
      <c r="M24" s="717"/>
      <c r="N24" s="717"/>
      <c r="O24" s="718"/>
      <c r="P24" s="219"/>
      <c r="Q24" s="219"/>
      <c r="R24" s="8"/>
      <c r="S24" s="8"/>
      <c r="T24" s="8"/>
      <c r="U24" s="8"/>
      <c r="V24" s="8"/>
      <c r="W24" s="8"/>
      <c r="X24" s="8"/>
      <c r="Y24" s="8"/>
      <c r="Z24" s="8"/>
      <c r="AA24" s="9"/>
      <c r="AB24" s="9"/>
    </row>
    <row r="25" spans="1:28" ht="37.5" customHeight="1">
      <c r="A25" s="719" t="s">
        <v>121</v>
      </c>
      <c r="B25" s="720"/>
      <c r="C25" s="247" t="s">
        <v>282</v>
      </c>
      <c r="D25" s="247" t="s">
        <v>122</v>
      </c>
      <c r="E25" s="248" t="s">
        <v>123</v>
      </c>
      <c r="F25" s="247" t="s">
        <v>257</v>
      </c>
      <c r="G25" s="247" t="s">
        <v>124</v>
      </c>
      <c r="H25" s="219"/>
      <c r="I25" s="719" t="s">
        <v>121</v>
      </c>
      <c r="J25" s="720"/>
      <c r="K25" s="238" t="s">
        <v>282</v>
      </c>
      <c r="L25" s="238" t="s">
        <v>122</v>
      </c>
      <c r="M25" s="238" t="s">
        <v>123</v>
      </c>
      <c r="N25" s="238" t="s">
        <v>158</v>
      </c>
      <c r="O25" s="238" t="s">
        <v>126</v>
      </c>
      <c r="P25" s="219"/>
      <c r="Q25" s="219"/>
      <c r="R25" s="8"/>
      <c r="S25" s="8"/>
      <c r="T25" s="8"/>
      <c r="U25" s="8"/>
      <c r="V25" s="8"/>
      <c r="W25" s="8"/>
      <c r="X25" s="8"/>
      <c r="Y25" s="8"/>
      <c r="Z25" s="8"/>
      <c r="AA25" s="8"/>
      <c r="AB25" s="8"/>
    </row>
    <row r="26" spans="1:28" ht="18.75" customHeight="1">
      <c r="A26" s="712" t="s">
        <v>36</v>
      </c>
      <c r="B26" s="713"/>
      <c r="C26" s="239">
        <f>D8+D9</f>
        <v>0</v>
      </c>
      <c r="D26" s="240"/>
      <c r="E26" s="240"/>
      <c r="F26" s="239">
        <f>D10</f>
        <v>0</v>
      </c>
      <c r="G26" s="239">
        <f t="shared" ref="G26:G43" si="0">SUM(C26:F26)</f>
        <v>0</v>
      </c>
      <c r="H26" s="219"/>
      <c r="I26" s="712" t="s">
        <v>36</v>
      </c>
      <c r="J26" s="713"/>
      <c r="K26" s="239">
        <f>C26*'2-Données générales'!D80/1000</f>
        <v>0</v>
      </c>
      <c r="L26" s="240"/>
      <c r="M26" s="240"/>
      <c r="N26" s="239">
        <f>F26*'2-Données générales'!D80/1000</f>
        <v>0</v>
      </c>
      <c r="O26" s="239">
        <f t="shared" ref="O26:O42" si="1">SUM(K26:N26)</f>
        <v>0</v>
      </c>
      <c r="P26" s="219"/>
      <c r="Q26" s="219"/>
      <c r="R26" s="8"/>
      <c r="S26" s="8"/>
      <c r="T26" s="8"/>
      <c r="U26" s="8"/>
      <c r="V26" s="8"/>
      <c r="W26" s="8"/>
      <c r="X26" s="8"/>
      <c r="Y26" s="8"/>
      <c r="Z26" s="8"/>
      <c r="AA26" s="8"/>
      <c r="AB26" s="8"/>
    </row>
    <row r="27" spans="1:28" ht="18.75" customHeight="1">
      <c r="A27" s="714" t="s">
        <v>101</v>
      </c>
      <c r="B27" s="715"/>
      <c r="C27" s="249"/>
      <c r="D27" s="242"/>
      <c r="E27" s="242"/>
      <c r="F27" s="242"/>
      <c r="G27" s="241">
        <f t="shared" si="0"/>
        <v>0</v>
      </c>
      <c r="H27" s="219"/>
      <c r="I27" s="714" t="s">
        <v>101</v>
      </c>
      <c r="J27" s="715"/>
      <c r="K27" s="241">
        <f>C27*'2-Données générales'!D81/1000</f>
        <v>0</v>
      </c>
      <c r="L27" s="242"/>
      <c r="M27" s="242"/>
      <c r="N27" s="242"/>
      <c r="O27" s="241">
        <f t="shared" si="1"/>
        <v>0</v>
      </c>
      <c r="P27" s="219"/>
      <c r="Q27" s="219"/>
      <c r="R27" s="8"/>
      <c r="S27" s="8"/>
      <c r="T27" s="8"/>
      <c r="U27" s="8"/>
      <c r="V27" s="8"/>
      <c r="W27" s="8"/>
      <c r="X27" s="8"/>
      <c r="Y27" s="8"/>
      <c r="Z27" s="8"/>
      <c r="AA27" s="8"/>
      <c r="AB27" s="8"/>
    </row>
    <row r="28" spans="1:28" ht="18.75" customHeight="1">
      <c r="A28" s="721" t="s">
        <v>125</v>
      </c>
      <c r="B28" s="70" t="s">
        <v>98</v>
      </c>
      <c r="C28" s="239">
        <f>D20*'2-Données générales'!C72</f>
        <v>0</v>
      </c>
      <c r="D28" s="244"/>
      <c r="E28" s="244"/>
      <c r="F28" s="244"/>
      <c r="G28" s="243">
        <f t="shared" si="0"/>
        <v>0</v>
      </c>
      <c r="H28" s="219"/>
      <c r="I28" s="721" t="s">
        <v>125</v>
      </c>
      <c r="J28" s="70" t="s">
        <v>98</v>
      </c>
      <c r="K28" s="243">
        <f>C28*'2-Données générales'!D82/1000</f>
        <v>0</v>
      </c>
      <c r="L28" s="244"/>
      <c r="M28" s="244"/>
      <c r="N28" s="244"/>
      <c r="O28" s="243">
        <f t="shared" si="1"/>
        <v>0</v>
      </c>
      <c r="P28" s="219"/>
      <c r="Q28" s="219"/>
      <c r="R28" s="8"/>
      <c r="S28" s="8"/>
      <c r="T28" s="8"/>
      <c r="U28" s="8"/>
      <c r="V28" s="8"/>
      <c r="W28" s="8"/>
      <c r="X28" s="8"/>
      <c r="Y28" s="8"/>
      <c r="Z28" s="8"/>
      <c r="AA28" s="8"/>
      <c r="AB28" s="8"/>
    </row>
    <row r="29" spans="1:28" ht="18.75" customHeight="1">
      <c r="A29" s="722"/>
      <c r="B29" s="71" t="s">
        <v>102</v>
      </c>
      <c r="C29" s="239">
        <f>(D11+D12)*'2-Données générales'!C67</f>
        <v>0</v>
      </c>
      <c r="D29" s="250">
        <f>D13*LPG_conv_C50</f>
        <v>0</v>
      </c>
      <c r="E29" s="240"/>
      <c r="F29" s="240"/>
      <c r="G29" s="239">
        <f t="shared" si="0"/>
        <v>0</v>
      </c>
      <c r="H29" s="219"/>
      <c r="I29" s="722"/>
      <c r="J29" s="71" t="s">
        <v>102</v>
      </c>
      <c r="K29" s="239">
        <f>C29*'2-Données générales'!D83/1000</f>
        <v>0</v>
      </c>
      <c r="L29" s="239">
        <f>D29*'2-Données générales'!D83/1000</f>
        <v>0</v>
      </c>
      <c r="M29" s="240"/>
      <c r="N29" s="240"/>
      <c r="O29" s="239">
        <f t="shared" si="1"/>
        <v>0</v>
      </c>
      <c r="P29" s="219"/>
      <c r="Q29" s="219"/>
      <c r="R29" s="8"/>
      <c r="S29" s="8"/>
      <c r="T29" s="8"/>
      <c r="U29" s="8"/>
      <c r="V29" s="8"/>
      <c r="W29" s="8"/>
      <c r="X29" s="8"/>
      <c r="Y29" s="8"/>
      <c r="Z29" s="8"/>
      <c r="AA29" s="8"/>
      <c r="AB29" s="8"/>
    </row>
    <row r="30" spans="1:28" ht="18.75" customHeight="1">
      <c r="A30" s="722"/>
      <c r="B30" s="72" t="s">
        <v>103</v>
      </c>
      <c r="C30" s="241">
        <f>D14*'2-Données générales'!C65</f>
        <v>0</v>
      </c>
      <c r="D30" s="242"/>
      <c r="E30" s="242"/>
      <c r="F30" s="242"/>
      <c r="G30" s="241">
        <f t="shared" si="0"/>
        <v>0</v>
      </c>
      <c r="H30" s="219"/>
      <c r="I30" s="722"/>
      <c r="J30" s="72" t="s">
        <v>103</v>
      </c>
      <c r="K30" s="241">
        <f>C30*'2-Données générales'!D84/1000</f>
        <v>0</v>
      </c>
      <c r="L30" s="242"/>
      <c r="M30" s="242"/>
      <c r="N30" s="242"/>
      <c r="O30" s="241">
        <f t="shared" si="1"/>
        <v>0</v>
      </c>
      <c r="P30" s="219"/>
      <c r="Q30" s="219"/>
      <c r="R30" s="8"/>
      <c r="S30" s="8"/>
      <c r="T30" s="8"/>
      <c r="U30" s="8"/>
      <c r="V30" s="8"/>
      <c r="W30" s="8"/>
      <c r="X30" s="8"/>
      <c r="Y30" s="8"/>
      <c r="Z30" s="8"/>
      <c r="AA30" s="8"/>
      <c r="AB30" s="8"/>
    </row>
    <row r="31" spans="1:28" ht="18.75" customHeight="1">
      <c r="A31" s="722"/>
      <c r="B31" s="70" t="s">
        <v>292</v>
      </c>
      <c r="C31" s="241">
        <f>D14*'2-Données générales'!C65</f>
        <v>0</v>
      </c>
      <c r="D31" s="243">
        <f>D15*'2-Données générales'!C65</f>
        <v>0</v>
      </c>
      <c r="E31" s="243">
        <f>D16*'2-Données générales'!C65</f>
        <v>0</v>
      </c>
      <c r="F31" s="244"/>
      <c r="G31" s="243">
        <f t="shared" si="0"/>
        <v>0</v>
      </c>
      <c r="H31" s="219"/>
      <c r="I31" s="722"/>
      <c r="J31" s="70" t="s">
        <v>292</v>
      </c>
      <c r="K31" s="243">
        <f>C31*'2-Données générales'!D85/1000</f>
        <v>0</v>
      </c>
      <c r="L31" s="243">
        <f>D31*'2-Données générales'!D85/1000</f>
        <v>0</v>
      </c>
      <c r="M31" s="243">
        <f>E31*'2-Données générales'!D85/1000</f>
        <v>0</v>
      </c>
      <c r="N31" s="244"/>
      <c r="O31" s="243">
        <f t="shared" si="1"/>
        <v>0</v>
      </c>
      <c r="P31" s="219"/>
      <c r="Q31" s="219"/>
      <c r="R31" s="8"/>
      <c r="S31" s="8"/>
      <c r="T31" s="8"/>
      <c r="U31" s="8"/>
      <c r="V31" s="8"/>
      <c r="W31" s="8"/>
      <c r="X31" s="8"/>
      <c r="Y31" s="8"/>
      <c r="Z31" s="8"/>
      <c r="AA31" s="8"/>
      <c r="AB31" s="8"/>
    </row>
    <row r="32" spans="1:28" ht="18.75" customHeight="1">
      <c r="A32" s="722"/>
      <c r="B32" s="71" t="s">
        <v>95</v>
      </c>
      <c r="C32" s="239">
        <f>D17*'2-Données générales'!C66</f>
        <v>0</v>
      </c>
      <c r="D32" s="239">
        <f>D18*'2-Données générales'!C66</f>
        <v>0</v>
      </c>
      <c r="E32" s="239">
        <f>D19*'2-Données générales'!C66</f>
        <v>0</v>
      </c>
      <c r="F32" s="240"/>
      <c r="G32" s="239">
        <f t="shared" si="0"/>
        <v>0</v>
      </c>
      <c r="H32" s="219"/>
      <c r="I32" s="722"/>
      <c r="J32" s="71" t="s">
        <v>95</v>
      </c>
      <c r="K32" s="239">
        <f>C32*'2-Données générales'!D86/1000</f>
        <v>0</v>
      </c>
      <c r="L32" s="239">
        <f>D32*'2-Données générales'!D86/1000</f>
        <v>0</v>
      </c>
      <c r="M32" s="239">
        <f>E32*'2-Données générales'!D86/1000</f>
        <v>0</v>
      </c>
      <c r="N32" s="240"/>
      <c r="O32" s="239">
        <f t="shared" si="1"/>
        <v>0</v>
      </c>
      <c r="P32" s="219"/>
      <c r="Q32" s="219"/>
      <c r="R32" s="8"/>
      <c r="S32" s="8"/>
      <c r="T32" s="8"/>
      <c r="U32" s="8"/>
      <c r="V32" s="8"/>
      <c r="W32" s="8"/>
      <c r="X32" s="8"/>
      <c r="Y32" s="8"/>
      <c r="Z32" s="8"/>
      <c r="AA32" s="8"/>
      <c r="AB32" s="8"/>
    </row>
    <row r="33" spans="1:28" ht="18.75" customHeight="1">
      <c r="A33" s="723"/>
      <c r="B33" s="85" t="s">
        <v>287</v>
      </c>
      <c r="C33" s="245">
        <v>0</v>
      </c>
      <c r="D33" s="245">
        <v>0</v>
      </c>
      <c r="E33" s="245">
        <v>0</v>
      </c>
      <c r="F33" s="246"/>
      <c r="G33" s="245"/>
      <c r="H33" s="219"/>
      <c r="I33" s="723"/>
      <c r="J33" s="85" t="s">
        <v>287</v>
      </c>
      <c r="K33" s="245">
        <f>C33*'2-Données générales'!D90</f>
        <v>0</v>
      </c>
      <c r="L33" s="245">
        <f>D33*'2-Données générales'!D90</f>
        <v>0</v>
      </c>
      <c r="M33" s="245">
        <f>E33*'2-Données générales'!D90</f>
        <v>0</v>
      </c>
      <c r="N33" s="246"/>
      <c r="O33" s="245"/>
      <c r="P33" s="219"/>
      <c r="Q33" s="219"/>
      <c r="R33" s="8"/>
      <c r="S33" s="8"/>
      <c r="T33" s="8"/>
      <c r="U33" s="8"/>
      <c r="V33" s="8"/>
      <c r="W33" s="8"/>
      <c r="X33" s="8"/>
      <c r="Y33" s="8"/>
      <c r="Z33" s="8"/>
      <c r="AA33" s="8"/>
      <c r="AB33" s="8"/>
    </row>
    <row r="34" spans="1:28" ht="18.75" customHeight="1">
      <c r="A34" s="722"/>
      <c r="B34" s="26" t="s">
        <v>2</v>
      </c>
      <c r="C34" s="242"/>
      <c r="D34" s="242"/>
      <c r="E34" s="242"/>
      <c r="F34" s="242"/>
      <c r="G34" s="241">
        <f t="shared" si="0"/>
        <v>0</v>
      </c>
      <c r="H34" s="219"/>
      <c r="I34" s="722"/>
      <c r="J34" s="26" t="s">
        <v>2</v>
      </c>
      <c r="K34" s="242"/>
      <c r="L34" s="242"/>
      <c r="M34" s="242"/>
      <c r="N34" s="242"/>
      <c r="O34" s="241">
        <f t="shared" si="1"/>
        <v>0</v>
      </c>
      <c r="P34" s="219"/>
      <c r="Q34" s="219"/>
      <c r="R34" s="8"/>
      <c r="S34" s="8"/>
      <c r="T34" s="8"/>
      <c r="U34" s="8"/>
      <c r="V34" s="8"/>
      <c r="W34" s="8"/>
      <c r="X34" s="8"/>
      <c r="Y34" s="8"/>
      <c r="Z34" s="8"/>
      <c r="AA34" s="8"/>
      <c r="AB34" s="8"/>
    </row>
    <row r="35" spans="1:28" ht="18.75" customHeight="1">
      <c r="A35" s="722"/>
      <c r="B35" s="70" t="s">
        <v>104</v>
      </c>
      <c r="C35" s="244"/>
      <c r="D35" s="244"/>
      <c r="E35" s="244"/>
      <c r="F35" s="244"/>
      <c r="G35" s="243">
        <f t="shared" si="0"/>
        <v>0</v>
      </c>
      <c r="H35" s="219"/>
      <c r="I35" s="722"/>
      <c r="J35" s="70" t="s">
        <v>104</v>
      </c>
      <c r="K35" s="244"/>
      <c r="L35" s="244"/>
      <c r="M35" s="244"/>
      <c r="N35" s="244"/>
      <c r="O35" s="243">
        <f t="shared" si="1"/>
        <v>0</v>
      </c>
      <c r="P35" s="219"/>
      <c r="Q35" s="219"/>
      <c r="R35" s="8"/>
      <c r="S35" s="8"/>
      <c r="T35" s="8"/>
      <c r="U35" s="8"/>
      <c r="V35" s="8"/>
      <c r="W35" s="8"/>
      <c r="X35" s="8"/>
      <c r="Y35" s="8"/>
      <c r="Z35" s="8"/>
      <c r="AA35" s="8"/>
      <c r="AB35" s="8"/>
    </row>
    <row r="36" spans="1:28" ht="18.75" customHeight="1">
      <c r="A36" s="722"/>
      <c r="B36" s="73" t="s">
        <v>105</v>
      </c>
      <c r="C36" s="240"/>
      <c r="D36" s="240"/>
      <c r="E36" s="240"/>
      <c r="F36" s="240"/>
      <c r="G36" s="239">
        <f>SUM(C36:F36)</f>
        <v>0</v>
      </c>
      <c r="H36" s="219"/>
      <c r="I36" s="722"/>
      <c r="J36" s="73" t="s">
        <v>105</v>
      </c>
      <c r="K36" s="240"/>
      <c r="L36" s="240"/>
      <c r="M36" s="240"/>
      <c r="N36" s="240"/>
      <c r="O36" s="239">
        <f t="shared" si="1"/>
        <v>0</v>
      </c>
      <c r="P36" s="219"/>
      <c r="Q36" s="219"/>
      <c r="R36" s="8"/>
      <c r="S36" s="8"/>
      <c r="T36" s="8"/>
      <c r="U36" s="8"/>
      <c r="V36" s="8"/>
      <c r="W36" s="8"/>
      <c r="X36" s="8"/>
      <c r="Y36" s="8"/>
      <c r="Z36" s="8"/>
      <c r="AA36" s="8"/>
      <c r="AB36" s="8"/>
    </row>
    <row r="37" spans="1:28" ht="18.75" customHeight="1">
      <c r="A37" s="724"/>
      <c r="B37" s="85" t="s">
        <v>390</v>
      </c>
      <c r="C37" s="242"/>
      <c r="D37" s="242"/>
      <c r="E37" s="242"/>
      <c r="F37" s="242"/>
      <c r="G37" s="241"/>
      <c r="H37" s="219"/>
      <c r="I37" s="724"/>
      <c r="J37" s="71" t="s">
        <v>390</v>
      </c>
      <c r="K37" s="242"/>
      <c r="L37" s="242"/>
      <c r="M37" s="242"/>
      <c r="N37" s="242"/>
      <c r="O37" s="241">
        <f>SUM(K37:N37)</f>
        <v>0</v>
      </c>
      <c r="P37" s="219"/>
      <c r="Q37" s="219"/>
      <c r="R37" s="8"/>
      <c r="S37" s="8"/>
      <c r="T37" s="8"/>
      <c r="U37" s="8"/>
      <c r="V37" s="8"/>
      <c r="W37" s="8"/>
      <c r="X37" s="8"/>
      <c r="Y37" s="8"/>
      <c r="Z37" s="8"/>
      <c r="AA37" s="8"/>
      <c r="AB37" s="8"/>
    </row>
    <row r="38" spans="1:28" ht="18.75" customHeight="1">
      <c r="A38" s="710" t="s">
        <v>107</v>
      </c>
      <c r="B38" s="72" t="s">
        <v>106</v>
      </c>
      <c r="C38" s="244"/>
      <c r="D38" s="244"/>
      <c r="E38" s="244"/>
      <c r="F38" s="244"/>
      <c r="G38" s="243">
        <f t="shared" si="0"/>
        <v>0</v>
      </c>
      <c r="H38" s="219"/>
      <c r="I38" s="710" t="s">
        <v>107</v>
      </c>
      <c r="J38" s="72" t="s">
        <v>106</v>
      </c>
      <c r="K38" s="244"/>
      <c r="L38" s="244"/>
      <c r="M38" s="244"/>
      <c r="N38" s="244"/>
      <c r="O38" s="243">
        <f t="shared" si="1"/>
        <v>0</v>
      </c>
      <c r="P38" s="219"/>
      <c r="Q38" s="219"/>
      <c r="R38" s="8"/>
      <c r="S38" s="8"/>
      <c r="T38" s="8"/>
      <c r="U38" s="8"/>
      <c r="V38" s="8"/>
      <c r="W38" s="8"/>
      <c r="X38" s="8"/>
      <c r="Y38" s="8"/>
      <c r="Z38" s="8"/>
      <c r="AA38" s="8"/>
      <c r="AB38" s="8"/>
    </row>
    <row r="39" spans="1:28" ht="18.75" customHeight="1">
      <c r="A39" s="711"/>
      <c r="B39" s="70" t="s">
        <v>108</v>
      </c>
      <c r="C39" s="240"/>
      <c r="D39" s="251"/>
      <c r="E39" s="240"/>
      <c r="F39" s="240"/>
      <c r="G39" s="239">
        <f t="shared" si="0"/>
        <v>0</v>
      </c>
      <c r="H39" s="219"/>
      <c r="I39" s="711"/>
      <c r="J39" s="70" t="s">
        <v>108</v>
      </c>
      <c r="K39" s="240"/>
      <c r="L39" s="239">
        <f>D39*'2-Données générales'!D93/1000</f>
        <v>0</v>
      </c>
      <c r="M39" s="240"/>
      <c r="N39" s="240"/>
      <c r="O39" s="239">
        <f t="shared" si="1"/>
        <v>0</v>
      </c>
      <c r="P39" s="219"/>
      <c r="Q39" s="219"/>
      <c r="R39" s="8"/>
      <c r="S39" s="8"/>
      <c r="T39" s="8"/>
      <c r="U39" s="8"/>
      <c r="V39" s="8"/>
      <c r="W39" s="8"/>
      <c r="X39" s="8"/>
      <c r="Y39" s="8"/>
      <c r="Z39" s="8"/>
      <c r="AA39" s="8"/>
      <c r="AB39" s="8"/>
    </row>
    <row r="40" spans="1:28" ht="18.75" customHeight="1">
      <c r="A40" s="711"/>
      <c r="B40" s="71" t="s">
        <v>109</v>
      </c>
      <c r="C40" s="249"/>
      <c r="D40" s="242"/>
      <c r="E40" s="249"/>
      <c r="F40" s="242"/>
      <c r="G40" s="241">
        <f t="shared" si="0"/>
        <v>0</v>
      </c>
      <c r="H40" s="219"/>
      <c r="I40" s="711"/>
      <c r="J40" s="71" t="s">
        <v>109</v>
      </c>
      <c r="K40" s="241">
        <f>C40*'2-Données générales'!D94/1000</f>
        <v>0</v>
      </c>
      <c r="L40" s="242"/>
      <c r="M40" s="241">
        <f>E40*'2-Données générales'!D94/1000</f>
        <v>0</v>
      </c>
      <c r="N40" s="242"/>
      <c r="O40" s="241">
        <f t="shared" si="1"/>
        <v>0</v>
      </c>
      <c r="P40" s="219"/>
      <c r="Q40" s="219"/>
      <c r="R40" s="8"/>
      <c r="S40" s="8"/>
      <c r="T40" s="8"/>
      <c r="U40" s="8"/>
      <c r="V40" s="8"/>
      <c r="W40" s="8"/>
      <c r="X40" s="8"/>
      <c r="Y40" s="8"/>
      <c r="Z40" s="8"/>
      <c r="AA40" s="8"/>
      <c r="AB40" s="8"/>
    </row>
    <row r="41" spans="1:28" ht="18.75" customHeight="1">
      <c r="A41" s="711"/>
      <c r="B41" s="72" t="s">
        <v>110</v>
      </c>
      <c r="C41" s="252"/>
      <c r="D41" s="244"/>
      <c r="E41" s="244"/>
      <c r="F41" s="244"/>
      <c r="G41" s="243">
        <f t="shared" si="0"/>
        <v>0</v>
      </c>
      <c r="H41" s="219"/>
      <c r="I41" s="711"/>
      <c r="J41" s="72" t="s">
        <v>110</v>
      </c>
      <c r="K41" s="243">
        <f>C41*'2-Données générales'!D95/1000</f>
        <v>0</v>
      </c>
      <c r="L41" s="244"/>
      <c r="M41" s="244"/>
      <c r="N41" s="244"/>
      <c r="O41" s="243">
        <f t="shared" si="1"/>
        <v>0</v>
      </c>
      <c r="P41" s="219"/>
      <c r="Q41" s="219"/>
      <c r="R41" s="8"/>
      <c r="S41" s="8"/>
      <c r="T41" s="8"/>
      <c r="U41" s="8"/>
      <c r="V41" s="8"/>
      <c r="W41" s="8"/>
      <c r="X41" s="8"/>
      <c r="Y41" s="8"/>
      <c r="Z41" s="8"/>
      <c r="AA41" s="8"/>
      <c r="AB41" s="8"/>
    </row>
    <row r="42" spans="1:28" ht="18.75" customHeight="1" thickBot="1">
      <c r="A42" s="711"/>
      <c r="B42" s="74" t="s">
        <v>111</v>
      </c>
      <c r="C42" s="251"/>
      <c r="D42" s="240"/>
      <c r="E42" s="240"/>
      <c r="F42" s="240"/>
      <c r="G42" s="239">
        <f t="shared" si="0"/>
        <v>0</v>
      </c>
      <c r="H42" s="219"/>
      <c r="I42" s="711"/>
      <c r="J42" s="74" t="s">
        <v>111</v>
      </c>
      <c r="K42" s="239">
        <f>C42*'2-Données générales'!D96/1000</f>
        <v>0</v>
      </c>
      <c r="L42" s="240"/>
      <c r="M42" s="240"/>
      <c r="N42" s="240"/>
      <c r="O42" s="239">
        <f t="shared" si="1"/>
        <v>0</v>
      </c>
      <c r="P42" s="219"/>
      <c r="Q42" s="219"/>
      <c r="R42" s="8"/>
      <c r="S42" s="8"/>
      <c r="T42" s="8"/>
      <c r="U42" s="8"/>
      <c r="V42" s="8"/>
      <c r="W42" s="8"/>
      <c r="X42" s="8"/>
      <c r="Y42" s="8"/>
      <c r="Z42" s="8"/>
      <c r="AA42" s="8"/>
      <c r="AB42" s="8"/>
    </row>
    <row r="43" spans="1:28" ht="18.75" customHeight="1">
      <c r="A43" s="707" t="s">
        <v>283</v>
      </c>
      <c r="B43" s="708"/>
      <c r="C43" s="243">
        <f>SUM(C29:C42,C26)</f>
        <v>0</v>
      </c>
      <c r="D43" s="243">
        <f>D31+D32+D39</f>
        <v>0</v>
      </c>
      <c r="E43" s="243">
        <f>E31+E32+E39</f>
        <v>0</v>
      </c>
      <c r="F43" s="243">
        <f>F26</f>
        <v>0</v>
      </c>
      <c r="G43" s="243">
        <f t="shared" si="0"/>
        <v>0</v>
      </c>
      <c r="H43" s="219"/>
      <c r="I43" s="707" t="s">
        <v>14</v>
      </c>
      <c r="J43" s="708"/>
      <c r="K43" s="243">
        <f>SUM(K26:K42)</f>
        <v>0</v>
      </c>
      <c r="L43" s="243">
        <f>SUM(L26:L42)</f>
        <v>0</v>
      </c>
      <c r="M43" s="243">
        <f>SUM(M26:M42)</f>
        <v>0</v>
      </c>
      <c r="N43" s="243">
        <f>SUM(N26:N42)</f>
        <v>0</v>
      </c>
      <c r="O43" s="243">
        <f>SUM(O26:O42)</f>
        <v>0</v>
      </c>
      <c r="P43" s="219"/>
      <c r="Q43" s="219"/>
      <c r="R43" s="8"/>
      <c r="S43" s="8"/>
      <c r="T43" s="8"/>
      <c r="U43" s="8"/>
      <c r="V43" s="8"/>
      <c r="W43" s="8"/>
      <c r="X43" s="8"/>
      <c r="Y43" s="8"/>
      <c r="Z43" s="8"/>
      <c r="AA43" s="8"/>
      <c r="AB43" s="8"/>
    </row>
    <row r="44" spans="1:28">
      <c r="A44" s="219"/>
      <c r="B44" s="219"/>
      <c r="C44" s="219"/>
      <c r="D44" s="219"/>
      <c r="E44" s="219"/>
      <c r="F44" s="219"/>
      <c r="G44" s="219"/>
      <c r="H44" s="219"/>
      <c r="I44" s="219"/>
      <c r="J44" s="219"/>
      <c r="K44" s="219"/>
      <c r="L44" s="219"/>
      <c r="M44" s="219"/>
      <c r="N44" s="219"/>
      <c r="O44" s="219"/>
      <c r="P44" s="219"/>
      <c r="Q44" s="219"/>
      <c r="R44" s="8"/>
      <c r="S44" s="8"/>
      <c r="T44" s="8"/>
      <c r="U44" s="8"/>
      <c r="V44" s="8"/>
      <c r="W44" s="8"/>
      <c r="X44" s="8"/>
      <c r="Y44" s="8"/>
      <c r="Z44" s="8"/>
      <c r="AA44" s="8"/>
      <c r="AB44" s="8"/>
    </row>
    <row r="45" spans="1:28">
      <c r="A45" s="219"/>
      <c r="B45" s="219"/>
      <c r="C45" s="219"/>
      <c r="D45" s="219"/>
      <c r="E45" s="219"/>
      <c r="F45" s="219"/>
      <c r="G45" s="219"/>
      <c r="H45" s="219"/>
      <c r="I45" s="219"/>
      <c r="J45" s="219"/>
      <c r="K45" s="219"/>
      <c r="L45" s="219"/>
      <c r="M45" s="219"/>
      <c r="N45" s="219"/>
      <c r="O45" s="219"/>
      <c r="P45" s="219"/>
      <c r="Q45" s="219"/>
      <c r="R45" s="8"/>
      <c r="S45" s="8"/>
      <c r="T45" s="8"/>
      <c r="U45" s="8"/>
      <c r="V45" s="8"/>
      <c r="W45" s="8"/>
      <c r="X45" s="8"/>
      <c r="Y45" s="8"/>
      <c r="Z45" s="8"/>
      <c r="AA45" s="8"/>
      <c r="AB45" s="8"/>
    </row>
    <row r="46" spans="1:28">
      <c r="A46" s="219"/>
      <c r="B46" s="219"/>
      <c r="C46" s="219"/>
      <c r="D46" s="219"/>
      <c r="E46" s="219"/>
      <c r="F46" s="219"/>
      <c r="G46" s="219"/>
      <c r="H46" s="219"/>
      <c r="I46" s="219"/>
      <c r="J46" s="219"/>
      <c r="K46" s="219"/>
      <c r="L46" s="219"/>
      <c r="M46" s="219"/>
      <c r="N46" s="219"/>
      <c r="O46" s="219"/>
      <c r="P46" s="219"/>
      <c r="Q46" s="219"/>
      <c r="R46" s="8"/>
      <c r="S46" s="8"/>
      <c r="T46" s="8"/>
      <c r="U46" s="8"/>
      <c r="V46" s="8"/>
      <c r="W46" s="8"/>
      <c r="X46" s="8"/>
      <c r="Y46" s="8"/>
      <c r="Z46" s="8"/>
      <c r="AA46" s="8"/>
      <c r="AB46" s="8"/>
    </row>
    <row r="47" spans="1:28">
      <c r="A47" s="219"/>
      <c r="B47" s="219"/>
      <c r="C47" s="219"/>
      <c r="D47" s="219"/>
      <c r="E47" s="219"/>
      <c r="F47" s="219"/>
      <c r="G47" s="219"/>
      <c r="H47" s="219"/>
      <c r="I47" s="219"/>
      <c r="J47" s="219"/>
      <c r="K47" s="219"/>
      <c r="L47" s="219"/>
      <c r="M47" s="219"/>
      <c r="N47" s="219"/>
      <c r="O47" s="219"/>
      <c r="P47" s="219"/>
      <c r="Q47" s="219"/>
      <c r="R47" s="8"/>
      <c r="S47" s="8"/>
      <c r="T47" s="8"/>
      <c r="U47" s="8"/>
      <c r="V47" s="8"/>
      <c r="W47" s="8"/>
      <c r="X47" s="8"/>
      <c r="Y47" s="8"/>
      <c r="Z47" s="8"/>
      <c r="AA47" s="8"/>
      <c r="AB47" s="8"/>
    </row>
    <row r="48" spans="1:28">
      <c r="A48" s="219"/>
      <c r="B48" s="219"/>
      <c r="C48" s="219"/>
      <c r="D48" s="219"/>
      <c r="E48" s="219"/>
      <c r="F48" s="219"/>
      <c r="G48" s="219"/>
      <c r="H48" s="219"/>
      <c r="I48" s="219"/>
      <c r="J48" s="219"/>
      <c r="K48" s="219"/>
      <c r="L48" s="219"/>
      <c r="M48" s="219"/>
      <c r="N48" s="219"/>
      <c r="O48" s="219"/>
      <c r="P48" s="219"/>
      <c r="Q48" s="219"/>
      <c r="R48" s="8"/>
      <c r="S48" s="8"/>
      <c r="T48" s="8"/>
      <c r="U48" s="8"/>
      <c r="V48" s="8"/>
      <c r="W48" s="8"/>
      <c r="X48" s="8"/>
      <c r="Y48" s="8"/>
      <c r="Z48" s="8"/>
      <c r="AA48" s="8"/>
      <c r="AB48" s="8"/>
    </row>
    <row r="49" spans="1:28">
      <c r="A49" s="219"/>
      <c r="B49" s="219"/>
      <c r="C49" s="219"/>
      <c r="D49" s="219"/>
      <c r="E49" s="219"/>
      <c r="F49" s="219"/>
      <c r="G49" s="219"/>
      <c r="H49" s="219"/>
      <c r="I49" s="219"/>
      <c r="J49" s="219"/>
      <c r="K49" s="219"/>
      <c r="L49" s="219"/>
      <c r="M49" s="219"/>
      <c r="N49" s="219"/>
      <c r="O49" s="219"/>
      <c r="P49" s="219"/>
      <c r="Q49" s="219"/>
      <c r="R49" s="8"/>
      <c r="S49" s="8"/>
      <c r="T49" s="8"/>
      <c r="U49" s="8"/>
      <c r="V49" s="8"/>
      <c r="W49" s="8"/>
      <c r="X49" s="8"/>
      <c r="Y49" s="8"/>
      <c r="Z49" s="8"/>
      <c r="AA49" s="8"/>
      <c r="AB49" s="8"/>
    </row>
    <row r="50" spans="1:28">
      <c r="A50" s="219"/>
      <c r="B50" s="219"/>
      <c r="C50" s="219"/>
      <c r="D50" s="219"/>
      <c r="E50" s="219"/>
      <c r="F50" s="219"/>
      <c r="G50" s="219"/>
      <c r="H50" s="219"/>
      <c r="I50" s="219"/>
      <c r="J50" s="219"/>
      <c r="K50" s="219"/>
      <c r="L50" s="219"/>
      <c r="M50" s="219"/>
      <c r="N50" s="219"/>
      <c r="O50" s="219"/>
      <c r="P50" s="219"/>
      <c r="Q50" s="219"/>
      <c r="R50" s="8"/>
      <c r="S50" s="8"/>
      <c r="T50" s="8"/>
      <c r="U50" s="8"/>
      <c r="V50" s="8"/>
      <c r="W50" s="8"/>
      <c r="X50" s="8"/>
      <c r="Y50" s="8"/>
      <c r="Z50" s="8"/>
      <c r="AA50" s="8"/>
      <c r="AB50" s="8"/>
    </row>
    <row r="51" spans="1:28">
      <c r="A51" s="219"/>
      <c r="B51" s="219"/>
      <c r="C51" s="219"/>
      <c r="D51" s="219"/>
      <c r="E51" s="219"/>
      <c r="F51" s="219"/>
      <c r="G51" s="219"/>
      <c r="H51" s="219"/>
      <c r="I51" s="219"/>
      <c r="J51" s="219"/>
      <c r="K51" s="219"/>
      <c r="L51" s="219"/>
      <c r="M51" s="219"/>
      <c r="N51" s="219"/>
      <c r="O51" s="219"/>
      <c r="P51" s="219"/>
      <c r="Q51" s="219"/>
      <c r="R51" s="8"/>
      <c r="S51" s="8"/>
      <c r="T51" s="8"/>
      <c r="U51" s="8"/>
      <c r="V51" s="8"/>
      <c r="W51" s="8"/>
      <c r="X51" s="8"/>
      <c r="Y51" s="8"/>
      <c r="Z51" s="8"/>
      <c r="AA51" s="8"/>
      <c r="AB51" s="8"/>
    </row>
    <row r="52" spans="1:28">
      <c r="A52" s="219"/>
      <c r="B52" s="219"/>
      <c r="C52" s="219"/>
      <c r="D52" s="219"/>
      <c r="E52" s="219"/>
      <c r="F52" s="219"/>
      <c r="G52" s="219"/>
      <c r="H52" s="219"/>
      <c r="I52" s="219"/>
      <c r="J52" s="219"/>
      <c r="K52" s="219"/>
      <c r="L52" s="219"/>
      <c r="M52" s="219"/>
      <c r="N52" s="219"/>
      <c r="O52" s="219"/>
      <c r="P52" s="219"/>
      <c r="Q52" s="219"/>
      <c r="R52" s="8"/>
      <c r="S52" s="8"/>
      <c r="T52" s="8"/>
      <c r="U52" s="8"/>
      <c r="V52" s="8"/>
      <c r="W52" s="8"/>
      <c r="X52" s="8"/>
      <c r="Y52" s="8"/>
      <c r="Z52" s="8"/>
      <c r="AA52" s="8"/>
      <c r="AB52" s="8"/>
    </row>
    <row r="53" spans="1:28">
      <c r="A53" s="219"/>
      <c r="B53" s="219"/>
      <c r="C53" s="219"/>
      <c r="D53" s="219"/>
      <c r="E53" s="219"/>
      <c r="F53" s="219"/>
      <c r="G53" s="219"/>
      <c r="H53" s="219"/>
      <c r="I53" s="219"/>
      <c r="J53" s="219"/>
      <c r="K53" s="219"/>
      <c r="L53" s="219"/>
      <c r="M53" s="219"/>
      <c r="N53" s="219"/>
      <c r="O53" s="219"/>
      <c r="P53" s="219"/>
      <c r="Q53" s="219"/>
      <c r="R53" s="8"/>
      <c r="S53" s="8"/>
      <c r="T53" s="8"/>
      <c r="U53" s="8"/>
      <c r="V53" s="8"/>
      <c r="W53" s="8"/>
      <c r="X53" s="8"/>
      <c r="Y53" s="8"/>
      <c r="Z53" s="8"/>
      <c r="AA53" s="8"/>
      <c r="AB53" s="8"/>
    </row>
    <row r="54" spans="1:28">
      <c r="A54" s="219"/>
      <c r="B54" s="219"/>
      <c r="C54" s="219"/>
      <c r="D54" s="219"/>
      <c r="E54" s="219"/>
      <c r="F54" s="219"/>
      <c r="G54" s="219"/>
      <c r="H54" s="219"/>
      <c r="I54" s="219"/>
      <c r="J54" s="219"/>
      <c r="K54" s="219"/>
      <c r="L54" s="219"/>
      <c r="M54" s="219"/>
      <c r="N54" s="219"/>
      <c r="O54" s="219"/>
      <c r="P54" s="219"/>
      <c r="Q54" s="219"/>
      <c r="R54" s="8"/>
      <c r="S54" s="8"/>
      <c r="T54" s="8"/>
      <c r="U54" s="8"/>
      <c r="V54" s="8"/>
      <c r="W54" s="8"/>
      <c r="X54" s="8"/>
      <c r="Y54" s="8"/>
      <c r="Z54" s="8"/>
      <c r="AA54" s="8"/>
      <c r="AB54" s="8"/>
    </row>
    <row r="55" spans="1:28">
      <c r="A55" s="219"/>
      <c r="B55" s="219"/>
      <c r="C55" s="219"/>
      <c r="D55" s="219"/>
      <c r="E55" s="219"/>
      <c r="F55" s="219"/>
      <c r="G55" s="219"/>
      <c r="H55" s="219"/>
      <c r="I55" s="219"/>
      <c r="J55" s="219"/>
      <c r="K55" s="219"/>
      <c r="L55" s="219"/>
      <c r="M55" s="219"/>
      <c r="N55" s="219"/>
      <c r="O55" s="219"/>
      <c r="P55" s="219"/>
      <c r="Q55" s="219"/>
      <c r="R55" s="8"/>
      <c r="S55" s="8"/>
      <c r="T55" s="8"/>
      <c r="U55" s="8"/>
      <c r="V55" s="8"/>
      <c r="W55" s="8"/>
      <c r="X55" s="8"/>
      <c r="Y55" s="8"/>
      <c r="Z55" s="8"/>
      <c r="AA55" s="8"/>
      <c r="AB55" s="8"/>
    </row>
  </sheetData>
  <sheetProtection sheet="1" objects="1" scenarios="1"/>
  <mergeCells count="27">
    <mergeCell ref="I6:L6"/>
    <mergeCell ref="A8:A10"/>
    <mergeCell ref="A14:A16"/>
    <mergeCell ref="G6:G7"/>
    <mergeCell ref="A6:A7"/>
    <mergeCell ref="B6:B7"/>
    <mergeCell ref="C6:C7"/>
    <mergeCell ref="D6:D7"/>
    <mergeCell ref="E6:E7"/>
    <mergeCell ref="F6:F7"/>
    <mergeCell ref="A11:A13"/>
    <mergeCell ref="I43:J43"/>
    <mergeCell ref="A1:AJ1"/>
    <mergeCell ref="A38:A42"/>
    <mergeCell ref="I38:I42"/>
    <mergeCell ref="A26:B26"/>
    <mergeCell ref="A27:B27"/>
    <mergeCell ref="I26:J26"/>
    <mergeCell ref="I27:J27"/>
    <mergeCell ref="A24:G24"/>
    <mergeCell ref="A25:B25"/>
    <mergeCell ref="A43:B43"/>
    <mergeCell ref="I24:O24"/>
    <mergeCell ref="A28:A37"/>
    <mergeCell ref="I28:I37"/>
    <mergeCell ref="A17:A19"/>
    <mergeCell ref="I25:J25"/>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sheetPr>
    <tabColor rgb="FF00B0F0"/>
  </sheetPr>
  <dimension ref="A1:AG214"/>
  <sheetViews>
    <sheetView zoomScale="70" zoomScaleNormal="70" workbookViewId="0">
      <selection activeCell="A19" sqref="A19:I19"/>
    </sheetView>
  </sheetViews>
  <sheetFormatPr baseColWidth="10" defaultColWidth="9.140625" defaultRowHeight="15"/>
  <cols>
    <col min="1" max="1" width="43.42578125" style="3" customWidth="1"/>
    <col min="2" max="2" width="53.42578125" style="3" customWidth="1"/>
    <col min="3" max="3" width="16.140625" style="3" customWidth="1"/>
    <col min="4" max="4" width="20.42578125" style="3" customWidth="1"/>
    <col min="5" max="5" width="21.85546875" style="3" customWidth="1"/>
    <col min="6" max="6" width="20.28515625" style="3" customWidth="1"/>
    <col min="7" max="7" width="21.42578125" style="68" customWidth="1"/>
    <col min="8" max="8" width="16.140625" style="68" customWidth="1"/>
    <col min="9" max="9" width="21.85546875" style="3" customWidth="1"/>
    <col min="10" max="10" width="22" style="3" customWidth="1"/>
    <col min="11" max="11" width="20.85546875" style="3" customWidth="1"/>
    <col min="12" max="12" width="21" style="15" customWidth="1"/>
    <col min="13" max="13" width="28.140625" style="3" customWidth="1"/>
    <col min="14" max="14" width="36.7109375" style="3" customWidth="1"/>
    <col min="15" max="15" width="21.140625" style="3" customWidth="1"/>
    <col min="16" max="16" width="23.7109375" style="3" customWidth="1"/>
    <col min="17" max="17" width="15.85546875" style="3" customWidth="1"/>
    <col min="18" max="19" width="15.85546875" style="68" customWidth="1"/>
    <col min="20" max="20" width="24.140625" style="3" customWidth="1"/>
    <col min="21" max="21" width="17.5703125" style="3" customWidth="1"/>
    <col min="22" max="22" width="24.28515625" style="3" customWidth="1"/>
    <col min="23" max="23" width="9.140625" style="3"/>
    <col min="24" max="24" width="26.5703125" style="3" customWidth="1"/>
    <col min="25" max="25" width="19.5703125" style="3" customWidth="1"/>
    <col min="26" max="26" width="18.42578125" style="3" customWidth="1"/>
    <col min="27" max="27" width="19.42578125" style="3" customWidth="1"/>
    <col min="28" max="28" width="14.85546875" style="3" customWidth="1"/>
    <col min="29" max="29" width="17.42578125" style="3" customWidth="1"/>
    <col min="30" max="30" width="18.85546875" style="3" customWidth="1"/>
    <col min="31" max="31" width="16.5703125" style="3" customWidth="1"/>
    <col min="32" max="32" width="16" style="3" customWidth="1"/>
    <col min="33" max="33" width="15.140625" style="3" customWidth="1"/>
    <col min="34" max="16384" width="9.140625" style="3"/>
  </cols>
  <sheetData>
    <row r="1" spans="1:22" ht="53.25" customHeight="1">
      <c r="A1" s="709" t="s">
        <v>127</v>
      </c>
      <c r="B1" s="709"/>
      <c r="C1" s="709"/>
      <c r="D1" s="709"/>
      <c r="E1" s="709"/>
      <c r="F1" s="709"/>
      <c r="G1" s="709"/>
      <c r="H1" s="709"/>
      <c r="I1" s="709"/>
      <c r="J1" s="709"/>
      <c r="K1" s="709"/>
      <c r="L1" s="709"/>
      <c r="M1" s="709"/>
      <c r="N1" s="709"/>
      <c r="O1" s="709"/>
      <c r="P1" s="709"/>
      <c r="Q1" s="709"/>
      <c r="R1" s="709"/>
      <c r="S1" s="709"/>
      <c r="T1" s="709"/>
      <c r="U1" s="709"/>
      <c r="V1" s="709"/>
    </row>
    <row r="2" spans="1:22" ht="6" customHeight="1">
      <c r="A2" s="326"/>
      <c r="B2" s="326"/>
      <c r="C2" s="326"/>
      <c r="D2" s="326"/>
      <c r="E2" s="326"/>
      <c r="F2" s="326"/>
      <c r="G2" s="326"/>
      <c r="H2" s="326"/>
      <c r="I2" s="326"/>
      <c r="J2" s="326"/>
      <c r="K2" s="326"/>
      <c r="L2" s="327"/>
      <c r="M2" s="326"/>
      <c r="N2" s="326"/>
      <c r="O2" s="326"/>
      <c r="P2" s="326"/>
      <c r="Q2" s="326"/>
      <c r="R2" s="326"/>
      <c r="S2" s="326"/>
      <c r="T2" s="326"/>
      <c r="U2" s="326"/>
      <c r="V2" s="326"/>
    </row>
    <row r="3" spans="1:22">
      <c r="A3" s="328"/>
      <c r="B3" s="328"/>
      <c r="C3" s="328"/>
      <c r="D3" s="328"/>
      <c r="E3" s="328"/>
      <c r="F3" s="328"/>
      <c r="G3" s="328"/>
      <c r="H3" s="328"/>
      <c r="I3" s="328"/>
      <c r="J3" s="328"/>
      <c r="K3" s="328"/>
      <c r="L3" s="328"/>
      <c r="M3" s="328"/>
      <c r="N3" s="328"/>
      <c r="O3" s="328"/>
      <c r="P3" s="328"/>
      <c r="Q3" s="328"/>
      <c r="R3" s="328"/>
      <c r="S3" s="328"/>
      <c r="T3" s="328"/>
      <c r="U3" s="328"/>
      <c r="V3" s="328"/>
    </row>
    <row r="4" spans="1:22" ht="18.75">
      <c r="A4" s="18" t="s">
        <v>128</v>
      </c>
      <c r="B4" s="18"/>
      <c r="C4" s="18"/>
      <c r="D4" s="221"/>
      <c r="E4" s="221"/>
      <c r="F4" s="221"/>
      <c r="G4" s="221"/>
      <c r="H4" s="221"/>
      <c r="I4" s="221"/>
      <c r="J4" s="221"/>
      <c r="K4" s="221"/>
      <c r="L4" s="329"/>
      <c r="M4" s="221"/>
      <c r="N4" s="221"/>
      <c r="O4" s="221"/>
      <c r="P4" s="253"/>
      <c r="Q4" s="253"/>
      <c r="R4" s="253"/>
      <c r="S4" s="253"/>
      <c r="T4" s="253"/>
      <c r="U4" s="253"/>
      <c r="V4" s="253"/>
    </row>
    <row r="5" spans="1:22">
      <c r="A5" s="330" t="s">
        <v>425</v>
      </c>
      <c r="B5" s="331"/>
      <c r="C5" s="331"/>
      <c r="D5" s="331"/>
      <c r="E5" s="331"/>
      <c r="F5" s="331"/>
      <c r="G5" s="331"/>
      <c r="H5" s="331"/>
      <c r="I5" s="331"/>
      <c r="J5" s="331"/>
      <c r="K5" s="331"/>
      <c r="L5" s="331"/>
      <c r="M5" s="331"/>
      <c r="N5" s="331"/>
      <c r="O5" s="331"/>
      <c r="P5" s="331"/>
      <c r="Q5" s="331"/>
      <c r="R5" s="331"/>
      <c r="S5" s="331"/>
      <c r="T5" s="331"/>
      <c r="U5" s="331"/>
      <c r="V5" s="331"/>
    </row>
    <row r="6" spans="1:22" ht="48" customHeight="1">
      <c r="A6" s="571" t="s">
        <v>367</v>
      </c>
      <c r="B6" s="559" t="s">
        <v>363</v>
      </c>
      <c r="C6" s="331"/>
      <c r="D6" s="331"/>
      <c r="E6" s="331"/>
      <c r="F6" s="331"/>
      <c r="G6" s="331"/>
      <c r="H6" s="331"/>
      <c r="I6" s="331"/>
      <c r="J6" s="331"/>
      <c r="K6" s="331"/>
      <c r="L6" s="331"/>
      <c r="M6" s="331"/>
      <c r="N6" s="331"/>
      <c r="O6" s="331"/>
      <c r="P6" s="331"/>
      <c r="Q6" s="331"/>
      <c r="R6" s="331"/>
      <c r="S6" s="331"/>
      <c r="T6" s="331"/>
      <c r="U6" s="331"/>
      <c r="V6" s="331"/>
    </row>
    <row r="7" spans="1:22" ht="18.75">
      <c r="A7" s="793" t="s">
        <v>285</v>
      </c>
      <c r="B7" s="793"/>
      <c r="C7" s="793"/>
      <c r="D7" s="793"/>
      <c r="E7" s="793"/>
      <c r="F7" s="331"/>
      <c r="G7" s="331"/>
      <c r="H7" s="331"/>
      <c r="I7" s="331"/>
      <c r="J7" s="331"/>
      <c r="K7" s="331"/>
      <c r="L7" s="331"/>
      <c r="M7" s="331"/>
      <c r="N7" s="331"/>
      <c r="O7" s="331"/>
      <c r="P7" s="331"/>
      <c r="Q7" s="331"/>
      <c r="R7" s="331"/>
      <c r="S7" s="331"/>
      <c r="T7" s="331"/>
      <c r="U7" s="331"/>
      <c r="V7" s="331"/>
    </row>
    <row r="8" spans="1:22" ht="38.25" thickBot="1">
      <c r="A8" s="332"/>
      <c r="B8" s="132" t="s">
        <v>135</v>
      </c>
      <c r="C8" s="130" t="s">
        <v>36</v>
      </c>
      <c r="D8" s="130" t="s">
        <v>37</v>
      </c>
      <c r="E8" s="132" t="s">
        <v>269</v>
      </c>
      <c r="F8" s="130" t="s">
        <v>98</v>
      </c>
      <c r="G8" s="130" t="s">
        <v>337</v>
      </c>
      <c r="H8" s="132" t="s">
        <v>408</v>
      </c>
      <c r="I8" s="132" t="s">
        <v>110</v>
      </c>
      <c r="J8" s="333" t="s">
        <v>14</v>
      </c>
      <c r="K8" s="331"/>
      <c r="L8" s="331"/>
      <c r="M8" s="331"/>
      <c r="N8" s="331"/>
      <c r="O8" s="331"/>
      <c r="P8" s="331"/>
      <c r="Q8" s="331"/>
      <c r="R8" s="331"/>
      <c r="S8" s="331"/>
      <c r="T8" s="331"/>
      <c r="U8" s="331"/>
      <c r="V8" s="331"/>
    </row>
    <row r="9" spans="1:22">
      <c r="A9" s="50" t="s">
        <v>134</v>
      </c>
      <c r="B9" s="128"/>
      <c r="C9" s="128"/>
      <c r="D9" s="128"/>
      <c r="E9" s="128"/>
      <c r="F9" s="128"/>
      <c r="G9" s="128"/>
      <c r="H9" s="128"/>
      <c r="I9" s="128"/>
      <c r="J9" s="615">
        <f t="shared" ref="J9:J16" si="0">SUM(C9:I9)</f>
        <v>0</v>
      </c>
      <c r="K9" s="809" t="s">
        <v>422</v>
      </c>
      <c r="L9" s="331"/>
      <c r="M9" s="331"/>
      <c r="N9" s="331"/>
      <c r="O9" s="331"/>
      <c r="P9" s="331"/>
      <c r="Q9" s="331"/>
      <c r="R9" s="331"/>
      <c r="S9" s="331"/>
      <c r="T9" s="331"/>
      <c r="U9" s="331"/>
      <c r="V9" s="331"/>
    </row>
    <row r="10" spans="1:22">
      <c r="A10" s="53" t="s">
        <v>129</v>
      </c>
      <c r="B10" s="128"/>
      <c r="C10" s="128"/>
      <c r="D10" s="128"/>
      <c r="E10" s="128"/>
      <c r="F10" s="128"/>
      <c r="G10" s="128"/>
      <c r="H10" s="128"/>
      <c r="I10" s="128"/>
      <c r="J10" s="615">
        <f t="shared" si="0"/>
        <v>0</v>
      </c>
      <c r="K10" s="810"/>
      <c r="L10" s="331"/>
      <c r="M10" s="331"/>
      <c r="N10" s="331"/>
      <c r="O10" s="331"/>
      <c r="P10" s="331"/>
      <c r="Q10" s="331"/>
      <c r="R10" s="331"/>
      <c r="S10" s="331"/>
      <c r="T10" s="331"/>
      <c r="U10" s="331"/>
      <c r="V10" s="331"/>
    </row>
    <row r="11" spans="1:22">
      <c r="A11" s="54" t="s">
        <v>130</v>
      </c>
      <c r="B11" s="128"/>
      <c r="C11" s="128"/>
      <c r="D11" s="128"/>
      <c r="E11" s="128"/>
      <c r="F11" s="128"/>
      <c r="G11" s="128"/>
      <c r="H11" s="128"/>
      <c r="I11" s="128"/>
      <c r="J11" s="615">
        <f t="shared" si="0"/>
        <v>0</v>
      </c>
      <c r="K11" s="810"/>
      <c r="L11" s="331"/>
      <c r="M11" s="331"/>
      <c r="N11" s="331"/>
      <c r="O11" s="331"/>
      <c r="P11" s="331"/>
      <c r="Q11" s="331"/>
      <c r="R11" s="331"/>
      <c r="S11" s="331"/>
      <c r="T11" s="331"/>
      <c r="U11" s="331"/>
      <c r="V11" s="331"/>
    </row>
    <row r="12" spans="1:22">
      <c r="A12" s="50" t="s">
        <v>131</v>
      </c>
      <c r="B12" s="128"/>
      <c r="C12" s="128"/>
      <c r="D12" s="128"/>
      <c r="E12" s="128"/>
      <c r="F12" s="128"/>
      <c r="G12" s="128"/>
      <c r="H12" s="128"/>
      <c r="I12" s="128"/>
      <c r="J12" s="615">
        <f t="shared" si="0"/>
        <v>0</v>
      </c>
      <c r="K12" s="810"/>
      <c r="L12" s="331"/>
      <c r="M12" s="331"/>
      <c r="N12" s="331"/>
      <c r="O12" s="331"/>
      <c r="P12" s="331"/>
      <c r="Q12" s="331"/>
      <c r="R12" s="331"/>
      <c r="S12" s="331"/>
      <c r="T12" s="331"/>
      <c r="U12" s="331"/>
      <c r="V12" s="331"/>
    </row>
    <row r="13" spans="1:22">
      <c r="A13" s="53" t="s">
        <v>132</v>
      </c>
      <c r="B13" s="128"/>
      <c r="C13" s="128"/>
      <c r="D13" s="128"/>
      <c r="E13" s="128"/>
      <c r="F13" s="128"/>
      <c r="G13" s="128"/>
      <c r="H13" s="128"/>
      <c r="I13" s="128"/>
      <c r="J13" s="615">
        <f t="shared" si="0"/>
        <v>0</v>
      </c>
      <c r="K13" s="810"/>
      <c r="L13" s="331"/>
      <c r="M13" s="331"/>
      <c r="N13" s="334"/>
      <c r="O13" s="334"/>
      <c r="P13" s="334"/>
      <c r="Q13" s="331"/>
      <c r="R13" s="331"/>
      <c r="S13" s="331"/>
      <c r="T13" s="331"/>
      <c r="U13" s="331"/>
      <c r="V13" s="331"/>
    </row>
    <row r="14" spans="1:22">
      <c r="A14" s="162" t="s">
        <v>133</v>
      </c>
      <c r="B14" s="128"/>
      <c r="C14" s="128"/>
      <c r="D14" s="128"/>
      <c r="E14" s="128"/>
      <c r="F14" s="128"/>
      <c r="G14" s="128"/>
      <c r="H14" s="128"/>
      <c r="I14" s="128"/>
      <c r="J14" s="615">
        <f t="shared" si="0"/>
        <v>0</v>
      </c>
      <c r="K14" s="810"/>
      <c r="L14" s="331"/>
      <c r="M14" s="331"/>
      <c r="N14" s="335"/>
      <c r="O14" s="331"/>
      <c r="P14" s="331"/>
      <c r="Q14" s="331"/>
      <c r="R14" s="331"/>
      <c r="S14" s="331"/>
      <c r="T14" s="331"/>
      <c r="U14" s="331"/>
      <c r="V14" s="331"/>
    </row>
    <row r="15" spans="1:22" s="68" customFormat="1">
      <c r="A15" s="120" t="s">
        <v>339</v>
      </c>
      <c r="B15" s="128"/>
      <c r="C15" s="128"/>
      <c r="D15" s="128"/>
      <c r="E15" s="128"/>
      <c r="F15" s="128"/>
      <c r="G15" s="128"/>
      <c r="H15" s="128"/>
      <c r="I15" s="128"/>
      <c r="J15" s="615">
        <f t="shared" si="0"/>
        <v>0</v>
      </c>
      <c r="K15" s="810"/>
      <c r="L15" s="331"/>
      <c r="M15" s="331"/>
      <c r="N15" s="331"/>
      <c r="O15" s="331"/>
      <c r="P15" s="331"/>
      <c r="Q15" s="331"/>
      <c r="R15" s="336"/>
      <c r="S15" s="331"/>
      <c r="T15" s="331"/>
      <c r="U15" s="331"/>
      <c r="V15" s="331"/>
    </row>
    <row r="16" spans="1:22">
      <c r="A16" s="120" t="s">
        <v>340</v>
      </c>
      <c r="B16" s="128"/>
      <c r="C16" s="128"/>
      <c r="D16" s="128"/>
      <c r="E16" s="128"/>
      <c r="F16" s="128"/>
      <c r="G16" s="128"/>
      <c r="H16" s="128"/>
      <c r="I16" s="128"/>
      <c r="J16" s="615">
        <f t="shared" si="0"/>
        <v>0</v>
      </c>
      <c r="K16" s="810"/>
      <c r="L16" s="331"/>
      <c r="M16" s="331"/>
      <c r="N16" s="331"/>
      <c r="O16" s="331"/>
      <c r="P16" s="331"/>
      <c r="Q16" s="331"/>
      <c r="R16" s="331"/>
      <c r="S16" s="331"/>
      <c r="T16" s="335"/>
      <c r="U16" s="331"/>
      <c r="V16" s="331"/>
    </row>
    <row r="17" spans="1:25" ht="15.75" thickBot="1">
      <c r="A17" s="331"/>
      <c r="B17" s="140">
        <f>SUM(B9:B16)</f>
        <v>0</v>
      </c>
      <c r="C17" s="140">
        <f>C9*$B9+C10*$B10+C11*$B11+C12*$B12+C13*$B13+C14*$B14+$B$15*C15+$B$16*C16</f>
        <v>0</v>
      </c>
      <c r="D17" s="140">
        <f t="shared" ref="D17:J17" si="1">D9*$B9+D10*$B10+D11*$B11+D12*$B12+D13*$B13+D14*$B14+$B$15*D15+$B$16*D16</f>
        <v>0</v>
      </c>
      <c r="E17" s="140">
        <f t="shared" si="1"/>
        <v>0</v>
      </c>
      <c r="F17" s="140">
        <f t="shared" si="1"/>
        <v>0</v>
      </c>
      <c r="G17" s="140">
        <f t="shared" si="1"/>
        <v>0</v>
      </c>
      <c r="H17" s="140">
        <f t="shared" si="1"/>
        <v>0</v>
      </c>
      <c r="I17" s="140">
        <f t="shared" si="1"/>
        <v>0</v>
      </c>
      <c r="J17" s="616">
        <f t="shared" si="1"/>
        <v>0</v>
      </c>
      <c r="K17" s="811"/>
      <c r="L17" s="331"/>
      <c r="M17" s="331"/>
      <c r="N17" s="331"/>
      <c r="O17" s="331"/>
      <c r="P17" s="331"/>
      <c r="Q17" s="331"/>
      <c r="R17" s="331"/>
      <c r="S17" s="334"/>
      <c r="T17" s="331"/>
      <c r="U17" s="331"/>
      <c r="V17" s="331"/>
    </row>
    <row r="18" spans="1:25">
      <c r="A18" s="331"/>
      <c r="B18" s="331"/>
      <c r="C18" s="331"/>
      <c r="D18" s="331" t="s">
        <v>62</v>
      </c>
      <c r="E18" s="331"/>
      <c r="F18" s="331"/>
      <c r="G18" s="331"/>
      <c r="H18" s="331"/>
      <c r="I18" s="331"/>
      <c r="J18" s="331"/>
      <c r="K18" s="331"/>
      <c r="L18" s="331"/>
      <c r="M18" s="331"/>
      <c r="N18" s="331"/>
      <c r="O18" s="331"/>
      <c r="P18" s="331"/>
      <c r="Q18" s="331"/>
      <c r="R18" s="331"/>
      <c r="S18" s="331"/>
      <c r="T18" s="331"/>
      <c r="U18" s="331"/>
      <c r="V18" s="331"/>
    </row>
    <row r="19" spans="1:25" ht="18.75">
      <c r="A19" s="796" t="s">
        <v>136</v>
      </c>
      <c r="B19" s="797"/>
      <c r="C19" s="797"/>
      <c r="D19" s="797"/>
      <c r="E19" s="797"/>
      <c r="F19" s="797"/>
      <c r="G19" s="797"/>
      <c r="H19" s="797"/>
      <c r="I19" s="797"/>
      <c r="J19" s="299"/>
      <c r="K19" s="331"/>
      <c r="L19" s="798" t="s">
        <v>338</v>
      </c>
      <c r="M19" s="798"/>
      <c r="N19" s="798"/>
      <c r="O19" s="798"/>
      <c r="P19" s="798"/>
      <c r="Q19" s="798"/>
      <c r="R19" s="798"/>
      <c r="S19" s="798"/>
      <c r="T19" s="798"/>
      <c r="U19" s="331"/>
      <c r="V19" s="331"/>
    </row>
    <row r="20" spans="1:25" ht="38.25" thickBot="1">
      <c r="A20" s="332"/>
      <c r="B20" s="132" t="s">
        <v>135</v>
      </c>
      <c r="C20" s="130" t="s">
        <v>36</v>
      </c>
      <c r="D20" s="130" t="s">
        <v>37</v>
      </c>
      <c r="E20" s="132" t="s">
        <v>269</v>
      </c>
      <c r="F20" s="130" t="s">
        <v>98</v>
      </c>
      <c r="G20" s="130" t="s">
        <v>337</v>
      </c>
      <c r="H20" s="132" t="s">
        <v>341</v>
      </c>
      <c r="I20" s="132" t="s">
        <v>110</v>
      </c>
      <c r="J20" s="337" t="s">
        <v>14</v>
      </c>
      <c r="K20" s="331"/>
      <c r="L20" s="338"/>
      <c r="M20" s="75" t="s">
        <v>135</v>
      </c>
      <c r="N20" s="130" t="s">
        <v>36</v>
      </c>
      <c r="O20" s="130" t="s">
        <v>37</v>
      </c>
      <c r="P20" s="132" t="s">
        <v>269</v>
      </c>
      <c r="Q20" s="130" t="s">
        <v>98</v>
      </c>
      <c r="R20" s="130" t="s">
        <v>337</v>
      </c>
      <c r="S20" s="132" t="s">
        <v>341</v>
      </c>
      <c r="T20" s="130" t="s">
        <v>110</v>
      </c>
      <c r="U20" s="339" t="s">
        <v>14</v>
      </c>
      <c r="V20" s="331"/>
      <c r="W20" s="68"/>
      <c r="X20" s="68"/>
      <c r="Y20" s="68"/>
    </row>
    <row r="21" spans="1:25">
      <c r="A21" s="50" t="s">
        <v>134</v>
      </c>
      <c r="B21" s="140">
        <f t="shared" ref="B21:E28" si="2">IF(B9=0,M21,B9)</f>
        <v>0.19</v>
      </c>
      <c r="C21" s="140">
        <f t="shared" si="2"/>
        <v>0.23</v>
      </c>
      <c r="D21" s="140">
        <f t="shared" si="2"/>
        <v>0.46</v>
      </c>
      <c r="E21" s="140">
        <f t="shared" si="2"/>
        <v>0.31</v>
      </c>
      <c r="F21" s="140">
        <f>IF($B$6="oui",IF(F9=0,Q21,F9),0)</f>
        <v>0</v>
      </c>
      <c r="G21" s="140">
        <f>IF(G9=0,R21,G9)</f>
        <v>0</v>
      </c>
      <c r="H21" s="140">
        <f>IF(H9=0,S21,H9)</f>
        <v>0</v>
      </c>
      <c r="I21" s="140">
        <f>IF(I9=0,T21,I9)</f>
        <v>0</v>
      </c>
      <c r="J21" s="613">
        <f t="shared" ref="J21:J29" si="3">SUM(C21:I21)</f>
        <v>1</v>
      </c>
      <c r="K21" s="809" t="s">
        <v>423</v>
      </c>
      <c r="L21" s="50" t="s">
        <v>134</v>
      </c>
      <c r="M21" s="140">
        <v>0.19</v>
      </c>
      <c r="N21" s="140">
        <v>0.23</v>
      </c>
      <c r="O21" s="140">
        <v>0.46</v>
      </c>
      <c r="P21" s="140">
        <v>0.31</v>
      </c>
      <c r="Q21" s="140">
        <v>0</v>
      </c>
      <c r="R21" s="140">
        <v>0</v>
      </c>
      <c r="S21" s="140">
        <v>0</v>
      </c>
      <c r="T21" s="140">
        <v>0</v>
      </c>
      <c r="U21" s="618">
        <f t="shared" ref="U21:U29" si="4">SUM(N21:T21)</f>
        <v>1</v>
      </c>
      <c r="V21" s="331"/>
      <c r="W21" s="68"/>
      <c r="X21" s="68"/>
      <c r="Y21" s="68"/>
    </row>
    <row r="22" spans="1:25">
      <c r="A22" s="53" t="s">
        <v>129</v>
      </c>
      <c r="B22" s="141">
        <f t="shared" si="2"/>
        <v>0.15</v>
      </c>
      <c r="C22" s="141">
        <f t="shared" si="2"/>
        <v>0.03</v>
      </c>
      <c r="D22" s="141">
        <f t="shared" si="2"/>
        <v>0.745</v>
      </c>
      <c r="E22" s="140">
        <f t="shared" si="2"/>
        <v>0</v>
      </c>
      <c r="F22" s="140">
        <f t="shared" ref="F22:F29" si="5">IF($B$6="oui",IF(F10=0,Q22,F10),0)</f>
        <v>0.18099999999999999</v>
      </c>
      <c r="G22" s="141">
        <f t="shared" ref="G22:G28" si="6">IF(G10=0,R22,G10)</f>
        <v>0</v>
      </c>
      <c r="H22" s="141">
        <f t="shared" ref="H22:H28" si="7">IF(H10=0,S22,H10)</f>
        <v>1.3299999999999999E-2</v>
      </c>
      <c r="I22" s="141">
        <f t="shared" ref="I22:I28" si="8">IF(I10=0,T22,I10)</f>
        <v>3.0700000000000002E-2</v>
      </c>
      <c r="J22" s="613">
        <f t="shared" si="3"/>
        <v>0.99999999999999989</v>
      </c>
      <c r="K22" s="810"/>
      <c r="L22" s="53" t="s">
        <v>129</v>
      </c>
      <c r="M22" s="141">
        <v>0.15</v>
      </c>
      <c r="N22" s="141">
        <v>0.03</v>
      </c>
      <c r="O22" s="141">
        <v>0.745</v>
      </c>
      <c r="P22" s="141">
        <v>0</v>
      </c>
      <c r="Q22" s="141">
        <v>0.18099999999999999</v>
      </c>
      <c r="R22" s="141">
        <v>0</v>
      </c>
      <c r="S22" s="141">
        <v>1.3299999999999999E-2</v>
      </c>
      <c r="T22" s="141">
        <v>3.0700000000000002E-2</v>
      </c>
      <c r="U22" s="618">
        <f t="shared" si="4"/>
        <v>0.99999999999999989</v>
      </c>
      <c r="V22" s="331"/>
    </row>
    <row r="23" spans="1:25">
      <c r="A23" s="54" t="s">
        <v>130</v>
      </c>
      <c r="B23" s="142">
        <f t="shared" si="2"/>
        <v>0.43</v>
      </c>
      <c r="C23" s="142">
        <f t="shared" si="2"/>
        <v>0</v>
      </c>
      <c r="D23" s="142">
        <f t="shared" si="2"/>
        <v>0.68</v>
      </c>
      <c r="E23" s="142">
        <f t="shared" si="2"/>
        <v>0</v>
      </c>
      <c r="F23" s="142">
        <f t="shared" si="5"/>
        <v>0.24099999999999999</v>
      </c>
      <c r="G23" s="142">
        <f t="shared" si="6"/>
        <v>7.9000000000000001E-2</v>
      </c>
      <c r="H23" s="142">
        <f t="shared" si="7"/>
        <v>0</v>
      </c>
      <c r="I23" s="142">
        <f t="shared" si="8"/>
        <v>0</v>
      </c>
      <c r="J23" s="614">
        <f t="shared" si="3"/>
        <v>1</v>
      </c>
      <c r="K23" s="810"/>
      <c r="L23" s="54" t="s">
        <v>130</v>
      </c>
      <c r="M23" s="142">
        <v>0.43</v>
      </c>
      <c r="N23" s="142">
        <v>0</v>
      </c>
      <c r="O23" s="142">
        <v>0.68</v>
      </c>
      <c r="P23" s="142">
        <v>0</v>
      </c>
      <c r="Q23" s="142">
        <v>0.24099999999999999</v>
      </c>
      <c r="R23" s="142">
        <v>7.9000000000000001E-2</v>
      </c>
      <c r="S23" s="142">
        <v>0</v>
      </c>
      <c r="T23" s="142">
        <v>0</v>
      </c>
      <c r="U23" s="618">
        <f t="shared" si="4"/>
        <v>1</v>
      </c>
      <c r="V23" s="331"/>
    </row>
    <row r="24" spans="1:25">
      <c r="A24" s="50" t="s">
        <v>131</v>
      </c>
      <c r="B24" s="140">
        <f t="shared" si="2"/>
        <v>0.03</v>
      </c>
      <c r="C24" s="140">
        <f t="shared" si="2"/>
        <v>1</v>
      </c>
      <c r="D24" s="140">
        <f t="shared" si="2"/>
        <v>0</v>
      </c>
      <c r="E24" s="140">
        <f t="shared" si="2"/>
        <v>0</v>
      </c>
      <c r="F24" s="140">
        <f t="shared" si="5"/>
        <v>0</v>
      </c>
      <c r="G24" s="140">
        <f t="shared" si="6"/>
        <v>0</v>
      </c>
      <c r="H24" s="140">
        <f t="shared" si="7"/>
        <v>0</v>
      </c>
      <c r="I24" s="140">
        <f t="shared" si="8"/>
        <v>0</v>
      </c>
      <c r="J24" s="613">
        <f t="shared" si="3"/>
        <v>1</v>
      </c>
      <c r="K24" s="810"/>
      <c r="L24" s="50" t="s">
        <v>131</v>
      </c>
      <c r="M24" s="140">
        <v>0.03</v>
      </c>
      <c r="N24" s="140">
        <v>1</v>
      </c>
      <c r="O24" s="216">
        <v>0</v>
      </c>
      <c r="P24" s="216">
        <v>0</v>
      </c>
      <c r="Q24" s="216">
        <v>0</v>
      </c>
      <c r="R24" s="216">
        <v>0</v>
      </c>
      <c r="S24" s="216">
        <v>0</v>
      </c>
      <c r="T24" s="216">
        <v>0</v>
      </c>
      <c r="U24" s="618">
        <f t="shared" si="4"/>
        <v>1</v>
      </c>
      <c r="V24" s="331"/>
    </row>
    <row r="25" spans="1:25">
      <c r="A25" s="53" t="s">
        <v>132</v>
      </c>
      <c r="B25" s="141">
        <f t="shared" si="2"/>
        <v>0.01</v>
      </c>
      <c r="C25" s="141">
        <f t="shared" si="2"/>
        <v>1</v>
      </c>
      <c r="D25" s="141">
        <f t="shared" si="2"/>
        <v>0</v>
      </c>
      <c r="E25" s="141">
        <f t="shared" si="2"/>
        <v>0</v>
      </c>
      <c r="F25" s="141">
        <f t="shared" si="5"/>
        <v>0</v>
      </c>
      <c r="G25" s="141">
        <f t="shared" si="6"/>
        <v>0</v>
      </c>
      <c r="H25" s="141">
        <f t="shared" si="7"/>
        <v>0</v>
      </c>
      <c r="I25" s="141">
        <f t="shared" si="8"/>
        <v>0</v>
      </c>
      <c r="J25" s="613">
        <f t="shared" si="3"/>
        <v>1</v>
      </c>
      <c r="K25" s="810"/>
      <c r="L25" s="53" t="s">
        <v>132</v>
      </c>
      <c r="M25" s="141">
        <v>0.01</v>
      </c>
      <c r="N25" s="141">
        <v>1</v>
      </c>
      <c r="O25" s="217">
        <v>0</v>
      </c>
      <c r="P25" s="217">
        <v>0</v>
      </c>
      <c r="Q25" s="217">
        <v>0</v>
      </c>
      <c r="R25" s="217">
        <v>0</v>
      </c>
      <c r="S25" s="217">
        <v>0</v>
      </c>
      <c r="T25" s="217">
        <v>0</v>
      </c>
      <c r="U25" s="618">
        <f t="shared" si="4"/>
        <v>1</v>
      </c>
      <c r="V25" s="331"/>
    </row>
    <row r="26" spans="1:25">
      <c r="A26" s="54" t="s">
        <v>133</v>
      </c>
      <c r="B26" s="142">
        <f t="shared" si="2"/>
        <v>0.04</v>
      </c>
      <c r="C26" s="142">
        <f t="shared" si="2"/>
        <v>1</v>
      </c>
      <c r="D26" s="142">
        <f t="shared" si="2"/>
        <v>0</v>
      </c>
      <c r="E26" s="142">
        <f t="shared" si="2"/>
        <v>0</v>
      </c>
      <c r="F26" s="142">
        <f t="shared" si="5"/>
        <v>0</v>
      </c>
      <c r="G26" s="142">
        <f t="shared" si="6"/>
        <v>0</v>
      </c>
      <c r="H26" s="142">
        <f t="shared" si="7"/>
        <v>0</v>
      </c>
      <c r="I26" s="142">
        <f t="shared" si="8"/>
        <v>0</v>
      </c>
      <c r="J26" s="614">
        <f t="shared" si="3"/>
        <v>1</v>
      </c>
      <c r="K26" s="810"/>
      <c r="L26" s="162" t="s">
        <v>133</v>
      </c>
      <c r="M26" s="142">
        <v>0.04</v>
      </c>
      <c r="N26" s="142">
        <v>1</v>
      </c>
      <c r="O26" s="218">
        <v>0</v>
      </c>
      <c r="P26" s="218">
        <v>0</v>
      </c>
      <c r="Q26" s="218">
        <v>0</v>
      </c>
      <c r="R26" s="218">
        <v>0</v>
      </c>
      <c r="S26" s="218">
        <v>0</v>
      </c>
      <c r="T26" s="218">
        <v>0</v>
      </c>
      <c r="U26" s="618">
        <f t="shared" si="4"/>
        <v>1</v>
      </c>
      <c r="V26" s="331"/>
    </row>
    <row r="27" spans="1:25" s="68" customFormat="1">
      <c r="A27" s="50" t="s">
        <v>339</v>
      </c>
      <c r="B27" s="140">
        <f t="shared" ref="B27:D28" si="9">IF(B15=0,M27,B15)</f>
        <v>0.09</v>
      </c>
      <c r="C27" s="140">
        <f t="shared" si="9"/>
        <v>1</v>
      </c>
      <c r="D27" s="140">
        <f t="shared" si="9"/>
        <v>0</v>
      </c>
      <c r="E27" s="140">
        <f t="shared" si="2"/>
        <v>0</v>
      </c>
      <c r="F27" s="140">
        <f t="shared" si="5"/>
        <v>0</v>
      </c>
      <c r="G27" s="140">
        <f t="shared" si="6"/>
        <v>0</v>
      </c>
      <c r="H27" s="140">
        <f t="shared" si="7"/>
        <v>0</v>
      </c>
      <c r="I27" s="140">
        <f t="shared" si="8"/>
        <v>0</v>
      </c>
      <c r="J27" s="613">
        <f t="shared" si="3"/>
        <v>1</v>
      </c>
      <c r="K27" s="810"/>
      <c r="L27" s="120" t="s">
        <v>339</v>
      </c>
      <c r="M27" s="142">
        <v>0.09</v>
      </c>
      <c r="N27" s="142">
        <v>1</v>
      </c>
      <c r="O27" s="218">
        <v>0</v>
      </c>
      <c r="P27" s="218">
        <v>0</v>
      </c>
      <c r="Q27" s="218">
        <v>0</v>
      </c>
      <c r="R27" s="218">
        <v>0</v>
      </c>
      <c r="S27" s="218">
        <v>0</v>
      </c>
      <c r="T27" s="218">
        <v>0</v>
      </c>
      <c r="U27" s="618">
        <f t="shared" si="4"/>
        <v>1</v>
      </c>
      <c r="V27" s="331"/>
    </row>
    <row r="28" spans="1:25" s="68" customFormat="1">
      <c r="A28" s="53" t="s">
        <v>340</v>
      </c>
      <c r="B28" s="141">
        <f t="shared" si="9"/>
        <v>0.06</v>
      </c>
      <c r="C28" s="141">
        <f t="shared" si="9"/>
        <v>1</v>
      </c>
      <c r="D28" s="141">
        <f t="shared" si="9"/>
        <v>0</v>
      </c>
      <c r="E28" s="140">
        <f t="shared" si="2"/>
        <v>0</v>
      </c>
      <c r="F28" s="140">
        <f t="shared" si="5"/>
        <v>0</v>
      </c>
      <c r="G28" s="141">
        <f t="shared" si="6"/>
        <v>0</v>
      </c>
      <c r="H28" s="141">
        <f t="shared" si="7"/>
        <v>0</v>
      </c>
      <c r="I28" s="141">
        <f t="shared" si="8"/>
        <v>0</v>
      </c>
      <c r="J28" s="613">
        <f t="shared" si="3"/>
        <v>1</v>
      </c>
      <c r="K28" s="810"/>
      <c r="L28" s="120" t="s">
        <v>340</v>
      </c>
      <c r="M28" s="142">
        <v>0.06</v>
      </c>
      <c r="N28" s="142">
        <v>1</v>
      </c>
      <c r="O28" s="218">
        <v>0</v>
      </c>
      <c r="P28" s="218">
        <v>0</v>
      </c>
      <c r="Q28" s="218">
        <v>0</v>
      </c>
      <c r="R28" s="218">
        <v>0</v>
      </c>
      <c r="S28" s="218">
        <v>0</v>
      </c>
      <c r="T28" s="218">
        <v>0</v>
      </c>
      <c r="U28" s="618">
        <f t="shared" si="4"/>
        <v>1</v>
      </c>
      <c r="V28" s="331"/>
    </row>
    <row r="29" spans="1:25" ht="15.75" thickBot="1">
      <c r="A29" s="23"/>
      <c r="B29" s="142">
        <f>SUM(B21:B28)</f>
        <v>1</v>
      </c>
      <c r="C29" s="142">
        <f>C21*$B21+C22*$B22+C23*$B23+C24*$B24+C25*$B25+C26*$B26+$B$27*C27+$B$28*C28</f>
        <v>0.2782</v>
      </c>
      <c r="D29" s="142">
        <f t="shared" ref="D29:I29" si="10">D21*$B21+D22*$B22+D23*$B23+D24*$B24+D25*$B25+D26*$B26+$B$27*D27+$B$28*D28</f>
        <v>0.49154999999999999</v>
      </c>
      <c r="E29" s="142">
        <f t="shared" si="10"/>
        <v>5.8900000000000001E-2</v>
      </c>
      <c r="F29" s="142">
        <f t="shared" si="5"/>
        <v>0.13078000000000001</v>
      </c>
      <c r="G29" s="142">
        <f t="shared" si="10"/>
        <v>3.397E-2</v>
      </c>
      <c r="H29" s="142">
        <f t="shared" si="10"/>
        <v>1.9949999999999998E-3</v>
      </c>
      <c r="I29" s="142">
        <f t="shared" si="10"/>
        <v>4.6049999999999997E-3</v>
      </c>
      <c r="J29" s="614">
        <f t="shared" si="3"/>
        <v>0.99999999999999978</v>
      </c>
      <c r="K29" s="811"/>
      <c r="L29" s="23"/>
      <c r="M29" s="617">
        <f>SUM(M21:M28)</f>
        <v>1</v>
      </c>
      <c r="N29" s="140">
        <f t="shared" ref="N29:T29" si="11">N21*$M21+N22*$M22+N23*$M23+N24*$M24+N25*$M25+N26*$M26+N27*$M$27+N28*$M$28</f>
        <v>0.2782</v>
      </c>
      <c r="O29" s="140">
        <f t="shared" si="11"/>
        <v>0.49154999999999999</v>
      </c>
      <c r="P29" s="140">
        <f t="shared" si="11"/>
        <v>5.8900000000000001E-2</v>
      </c>
      <c r="Q29" s="140">
        <f t="shared" si="11"/>
        <v>0.13078000000000001</v>
      </c>
      <c r="R29" s="140">
        <f t="shared" si="11"/>
        <v>3.397E-2</v>
      </c>
      <c r="S29" s="140">
        <f t="shared" si="11"/>
        <v>1.9949999999999998E-3</v>
      </c>
      <c r="T29" s="140">
        <f t="shared" si="11"/>
        <v>4.6049999999999997E-3</v>
      </c>
      <c r="U29" s="340">
        <f t="shared" si="4"/>
        <v>0.99999999999999978</v>
      </c>
      <c r="V29" s="331"/>
    </row>
    <row r="30" spans="1:25">
      <c r="A30" s="331"/>
      <c r="B30" s="331"/>
      <c r="C30" s="331"/>
      <c r="D30" s="331"/>
      <c r="E30" s="331"/>
      <c r="F30" s="331"/>
      <c r="G30" s="331"/>
      <c r="H30" s="331"/>
      <c r="I30" s="331"/>
      <c r="J30" s="331"/>
      <c r="K30" s="331"/>
      <c r="L30" s="341" t="s">
        <v>342</v>
      </c>
      <c r="M30" s="331"/>
      <c r="N30" s="342">
        <v>0.24</v>
      </c>
      <c r="O30" s="343">
        <v>0.47</v>
      </c>
      <c r="P30" s="343">
        <v>0.02</v>
      </c>
      <c r="Q30" s="343">
        <v>0.16</v>
      </c>
      <c r="R30" s="343">
        <v>0.108</v>
      </c>
      <c r="S30" s="343">
        <v>2E-3</v>
      </c>
      <c r="T30" s="344">
        <f>T21*M21+T22*$M22+T23*$M23+T24*$M24+T25*$M25+T26*$M26+T27*$M27+T8*$M$28</f>
        <v>4.6049999999999997E-3</v>
      </c>
      <c r="U30" s="331"/>
      <c r="V30" s="331"/>
    </row>
    <row r="31" spans="1:25">
      <c r="A31" s="331"/>
      <c r="B31" s="331"/>
      <c r="C31" s="331"/>
      <c r="D31" s="331"/>
      <c r="E31" s="331"/>
      <c r="F31" s="331"/>
      <c r="G31" s="331"/>
      <c r="H31" s="331"/>
      <c r="I31" s="331"/>
      <c r="J31" s="331"/>
      <c r="K31" s="331"/>
      <c r="L31" s="331"/>
      <c r="M31" s="331"/>
      <c r="N31" s="331"/>
      <c r="O31" s="331"/>
      <c r="P31" s="334"/>
      <c r="Q31" s="331"/>
      <c r="R31" s="331"/>
      <c r="S31" s="331"/>
      <c r="T31" s="345"/>
      <c r="U31" s="331"/>
      <c r="V31" s="331"/>
    </row>
    <row r="32" spans="1:25">
      <c r="A32" s="331"/>
      <c r="B32" s="331"/>
      <c r="C32" s="331"/>
      <c r="D32" s="331"/>
      <c r="E32" s="331"/>
      <c r="F32" s="331"/>
      <c r="G32" s="331"/>
      <c r="H32" s="331"/>
      <c r="I32" s="331"/>
      <c r="J32" s="331"/>
      <c r="K32" s="331"/>
      <c r="L32" s="331"/>
      <c r="M32" s="331"/>
      <c r="N32" s="345"/>
      <c r="O32" s="336"/>
      <c r="P32" s="346"/>
      <c r="Q32" s="334"/>
      <c r="R32" s="346"/>
      <c r="S32" s="331"/>
      <c r="T32" s="334"/>
      <c r="U32" s="331"/>
      <c r="V32" s="331"/>
    </row>
    <row r="33" spans="1:22">
      <c r="A33" s="331"/>
      <c r="B33" s="331"/>
      <c r="C33" s="331"/>
      <c r="D33" s="331"/>
      <c r="E33" s="331"/>
      <c r="F33" s="331"/>
      <c r="G33" s="331"/>
      <c r="H33" s="331"/>
      <c r="I33" s="331"/>
      <c r="J33" s="331"/>
      <c r="K33" s="331"/>
      <c r="L33" s="331"/>
      <c r="M33" s="331"/>
      <c r="N33" s="336"/>
      <c r="O33" s="331"/>
      <c r="P33" s="347"/>
      <c r="Q33" s="331"/>
      <c r="R33" s="334"/>
      <c r="S33" s="331"/>
      <c r="T33" s="331"/>
      <c r="U33" s="331"/>
      <c r="V33" s="331"/>
    </row>
    <row r="34" spans="1:22" ht="18" customHeight="1">
      <c r="A34" s="801" t="s">
        <v>288</v>
      </c>
      <c r="B34" s="801"/>
      <c r="C34" s="801"/>
      <c r="D34" s="799" t="s">
        <v>289</v>
      </c>
      <c r="E34" s="799"/>
      <c r="F34" s="799"/>
      <c r="G34" s="799"/>
      <c r="H34" s="799"/>
      <c r="I34" s="799"/>
      <c r="J34" s="799"/>
      <c r="K34" s="799"/>
      <c r="L34" s="329"/>
      <c r="M34" s="221"/>
      <c r="N34" s="221"/>
      <c r="O34" s="221"/>
      <c r="P34" s="253"/>
      <c r="Q34" s="253"/>
      <c r="R34" s="253"/>
      <c r="S34" s="253"/>
      <c r="T34" s="253"/>
      <c r="U34" s="253"/>
      <c r="V34" s="253"/>
    </row>
    <row r="35" spans="1:22" ht="30.75" customHeight="1">
      <c r="A35" s="801"/>
      <c r="B35" s="801"/>
      <c r="C35" s="801"/>
      <c r="D35" s="583" t="s">
        <v>418</v>
      </c>
      <c r="E35" s="330"/>
      <c r="F35" s="348"/>
      <c r="G35" s="348"/>
      <c r="H35" s="348"/>
      <c r="I35" s="348"/>
      <c r="J35" s="348"/>
      <c r="K35" s="348"/>
      <c r="L35" s="348"/>
      <c r="M35" s="348"/>
      <c r="N35" s="348"/>
      <c r="O35" s="348"/>
      <c r="P35" s="348"/>
      <c r="Q35" s="348"/>
      <c r="R35" s="348"/>
      <c r="S35" s="348"/>
      <c r="T35" s="348"/>
      <c r="U35" s="348"/>
      <c r="V35" s="348"/>
    </row>
    <row r="36" spans="1:22" ht="49.5" customHeight="1">
      <c r="A36" s="571" t="s">
        <v>366</v>
      </c>
      <c r="B36" s="560" t="s">
        <v>363</v>
      </c>
      <c r="C36" s="349"/>
      <c r="D36" s="348"/>
      <c r="E36" s="348"/>
      <c r="F36" s="348"/>
      <c r="G36" s="348"/>
      <c r="H36" s="348"/>
      <c r="I36" s="348"/>
      <c r="J36" s="348"/>
      <c r="K36" s="348"/>
      <c r="L36" s="348"/>
      <c r="M36" s="348"/>
      <c r="N36" s="348"/>
      <c r="O36" s="348"/>
      <c r="P36" s="348"/>
      <c r="Q36" s="348"/>
      <c r="R36" s="348"/>
      <c r="S36" s="348"/>
      <c r="T36" s="348"/>
      <c r="U36" s="348"/>
      <c r="V36" s="348"/>
    </row>
    <row r="37" spans="1:22" ht="47.25" customHeight="1">
      <c r="A37" s="794" t="s">
        <v>163</v>
      </c>
      <c r="B37" s="794"/>
      <c r="C37" s="348"/>
      <c r="D37" s="802" t="s">
        <v>349</v>
      </c>
      <c r="E37" s="803"/>
      <c r="F37" s="803"/>
      <c r="G37" s="803"/>
      <c r="H37" s="803"/>
      <c r="I37" s="803"/>
      <c r="J37" s="803"/>
      <c r="K37" s="348"/>
      <c r="L37" s="348"/>
      <c r="M37" s="348"/>
      <c r="N37" s="348"/>
      <c r="O37" s="348"/>
      <c r="P37" s="348"/>
      <c r="Q37" s="348"/>
      <c r="R37" s="348"/>
      <c r="S37" s="348"/>
      <c r="T37" s="348"/>
      <c r="U37" s="348"/>
      <c r="V37" s="348"/>
    </row>
    <row r="38" spans="1:22" ht="18.75">
      <c r="A38" s="88" t="s">
        <v>164</v>
      </c>
      <c r="B38" s="88" t="s">
        <v>169</v>
      </c>
      <c r="C38" s="348"/>
      <c r="D38" s="88" t="s">
        <v>164</v>
      </c>
      <c r="E38" s="130" t="s">
        <v>36</v>
      </c>
      <c r="F38" s="130" t="s">
        <v>37</v>
      </c>
      <c r="G38" s="130" t="s">
        <v>287</v>
      </c>
      <c r="H38" s="130" t="s">
        <v>98</v>
      </c>
      <c r="I38" s="130" t="s">
        <v>165</v>
      </c>
      <c r="J38" s="130" t="s">
        <v>347</v>
      </c>
      <c r="K38" s="88" t="s">
        <v>14</v>
      </c>
      <c r="L38" s="348"/>
      <c r="M38" s="348"/>
      <c r="N38" s="348"/>
      <c r="O38" s="348"/>
      <c r="P38" s="348"/>
      <c r="Q38" s="348"/>
      <c r="R38" s="348"/>
      <c r="S38" s="348"/>
      <c r="T38" s="348"/>
      <c r="U38" s="348"/>
      <c r="V38" s="348"/>
    </row>
    <row r="39" spans="1:22" ht="15.75">
      <c r="A39" s="163" t="s">
        <v>343</v>
      </c>
      <c r="B39" s="572">
        <v>0</v>
      </c>
      <c r="C39" s="348"/>
      <c r="D39" s="163" t="s">
        <v>343</v>
      </c>
      <c r="E39" s="127"/>
      <c r="F39" s="127"/>
      <c r="G39" s="127"/>
      <c r="H39" s="127"/>
      <c r="I39" s="127"/>
      <c r="J39" s="127"/>
      <c r="K39" s="612">
        <f>SUM(E39:J39)</f>
        <v>0</v>
      </c>
      <c r="L39" s="348"/>
      <c r="M39" s="348"/>
      <c r="N39" s="348"/>
      <c r="O39" s="348"/>
      <c r="P39" s="348"/>
      <c r="Q39" s="348"/>
      <c r="R39" s="348"/>
      <c r="S39" s="348"/>
      <c r="T39" s="348"/>
      <c r="U39" s="348"/>
      <c r="V39" s="348"/>
    </row>
    <row r="40" spans="1:22" ht="19.5" customHeight="1">
      <c r="A40" s="164" t="s">
        <v>344</v>
      </c>
      <c r="B40" s="572">
        <v>0</v>
      </c>
      <c r="C40" s="348"/>
      <c r="D40" s="164" t="s">
        <v>344</v>
      </c>
      <c r="E40" s="127"/>
      <c r="F40" s="127"/>
      <c r="G40" s="127"/>
      <c r="H40" s="127"/>
      <c r="I40" s="127"/>
      <c r="J40" s="127"/>
      <c r="K40" s="612">
        <f t="shared" ref="K40:K43" si="12">SUM(E40:J40)</f>
        <v>0</v>
      </c>
      <c r="L40" s="348"/>
      <c r="M40" s="348"/>
      <c r="N40" s="348"/>
      <c r="O40" s="348"/>
      <c r="P40" s="348"/>
      <c r="Q40" s="348"/>
      <c r="R40" s="348"/>
      <c r="S40" s="348"/>
      <c r="T40" s="348"/>
      <c r="U40" s="348"/>
      <c r="V40" s="348"/>
    </row>
    <row r="41" spans="1:22" ht="56.25" customHeight="1">
      <c r="A41" s="165" t="s">
        <v>345</v>
      </c>
      <c r="B41" s="572">
        <v>0</v>
      </c>
      <c r="C41" s="348"/>
      <c r="D41" s="166" t="s">
        <v>345</v>
      </c>
      <c r="E41" s="127"/>
      <c r="F41" s="127"/>
      <c r="G41" s="127"/>
      <c r="H41" s="127"/>
      <c r="I41" s="127"/>
      <c r="J41" s="127"/>
      <c r="K41" s="612">
        <f t="shared" si="12"/>
        <v>0</v>
      </c>
      <c r="L41" s="348"/>
      <c r="M41" s="348"/>
      <c r="N41" s="348"/>
      <c r="O41" s="348"/>
      <c r="P41" s="348"/>
      <c r="Q41" s="348"/>
      <c r="R41" s="348"/>
      <c r="S41" s="348"/>
      <c r="T41" s="348"/>
      <c r="U41" s="348"/>
      <c r="V41" s="348"/>
    </row>
    <row r="42" spans="1:22" ht="31.5">
      <c r="A42" s="163" t="s">
        <v>166</v>
      </c>
      <c r="B42" s="572">
        <v>0</v>
      </c>
      <c r="C42" s="348"/>
      <c r="D42" s="163" t="s">
        <v>166</v>
      </c>
      <c r="E42" s="127"/>
      <c r="F42" s="127"/>
      <c r="G42" s="127"/>
      <c r="H42" s="127"/>
      <c r="I42" s="127"/>
      <c r="J42" s="127"/>
      <c r="K42" s="612">
        <f t="shared" si="12"/>
        <v>0</v>
      </c>
      <c r="L42" s="348"/>
      <c r="M42" s="348"/>
      <c r="N42" s="348"/>
      <c r="O42" s="348"/>
      <c r="P42" s="348"/>
      <c r="Q42" s="348"/>
      <c r="R42" s="348"/>
      <c r="S42" s="348"/>
      <c r="T42" s="348"/>
      <c r="U42" s="348"/>
      <c r="V42" s="348"/>
    </row>
    <row r="43" spans="1:22" ht="15.75">
      <c r="A43" s="165" t="s">
        <v>167</v>
      </c>
      <c r="B43" s="572">
        <v>0</v>
      </c>
      <c r="C43" s="348"/>
      <c r="D43" s="165" t="s">
        <v>167</v>
      </c>
      <c r="E43" s="127"/>
      <c r="F43" s="127"/>
      <c r="G43" s="127"/>
      <c r="H43" s="127"/>
      <c r="I43" s="127"/>
      <c r="J43" s="127"/>
      <c r="K43" s="612">
        <f t="shared" si="12"/>
        <v>0</v>
      </c>
      <c r="L43" s="348"/>
      <c r="M43" s="348"/>
      <c r="N43" s="348"/>
      <c r="O43" s="348"/>
      <c r="P43" s="348"/>
      <c r="Q43" s="348"/>
      <c r="R43" s="348"/>
      <c r="S43" s="348"/>
      <c r="T43" s="348"/>
      <c r="U43" s="348"/>
      <c r="V43" s="348"/>
    </row>
    <row r="44" spans="1:22" ht="22.5" customHeight="1">
      <c r="A44" s="350" t="s">
        <v>22</v>
      </c>
      <c r="B44" s="573">
        <f>SUM(B39:B43)</f>
        <v>0</v>
      </c>
      <c r="C44" s="348"/>
      <c r="D44" s="348"/>
      <c r="E44" s="348"/>
      <c r="F44" s="348"/>
      <c r="G44" s="348"/>
      <c r="H44" s="348"/>
      <c r="I44" s="348"/>
      <c r="J44" s="348"/>
      <c r="K44" s="348"/>
      <c r="L44" s="348"/>
      <c r="M44" s="348"/>
      <c r="N44" s="348"/>
      <c r="O44" s="348"/>
      <c r="P44" s="348"/>
      <c r="Q44" s="348"/>
      <c r="R44" s="348"/>
      <c r="S44" s="348"/>
      <c r="T44" s="348"/>
      <c r="U44" s="348"/>
      <c r="V44" s="348"/>
    </row>
    <row r="45" spans="1:22">
      <c r="A45" s="348"/>
      <c r="B45" s="348"/>
      <c r="C45" s="348"/>
      <c r="D45" s="348"/>
      <c r="E45" s="348"/>
      <c r="F45" s="348"/>
      <c r="G45" s="348"/>
      <c r="H45" s="348"/>
      <c r="I45" s="348"/>
      <c r="J45" s="348"/>
      <c r="K45" s="348"/>
      <c r="L45" s="348"/>
      <c r="M45" s="348"/>
      <c r="N45" s="348"/>
      <c r="O45" s="348"/>
      <c r="P45" s="348"/>
      <c r="Q45" s="348"/>
      <c r="R45" s="348"/>
      <c r="S45" s="348"/>
      <c r="T45" s="348"/>
      <c r="U45" s="348"/>
      <c r="V45" s="348"/>
    </row>
    <row r="46" spans="1:22">
      <c r="A46" s="348"/>
      <c r="B46" s="348"/>
      <c r="C46" s="348"/>
      <c r="D46" s="348"/>
      <c r="E46" s="348"/>
      <c r="F46" s="348"/>
      <c r="G46" s="348"/>
      <c r="H46" s="348"/>
      <c r="I46" s="348"/>
      <c r="J46" s="348"/>
      <c r="K46" s="348"/>
      <c r="L46" s="348"/>
      <c r="M46" s="348"/>
      <c r="N46" s="348"/>
      <c r="O46" s="348"/>
      <c r="P46" s="348"/>
      <c r="Q46" s="348"/>
      <c r="R46" s="348"/>
      <c r="S46" s="348"/>
      <c r="T46" s="348"/>
      <c r="U46" s="348"/>
      <c r="V46" s="348"/>
    </row>
    <row r="47" spans="1:22">
      <c r="A47" s="348"/>
      <c r="B47" s="348"/>
      <c r="C47" s="348"/>
      <c r="D47" s="348"/>
      <c r="E47" s="348"/>
      <c r="F47" s="348"/>
      <c r="G47" s="348"/>
      <c r="H47" s="348"/>
      <c r="I47" s="348"/>
      <c r="J47" s="348"/>
      <c r="K47" s="348"/>
      <c r="L47" s="348"/>
      <c r="M47" s="348"/>
      <c r="N47" s="348"/>
      <c r="O47" s="348"/>
      <c r="P47" s="348"/>
      <c r="Q47" s="348"/>
      <c r="R47" s="348"/>
      <c r="S47" s="348"/>
      <c r="T47" s="348"/>
      <c r="U47" s="348"/>
      <c r="V47" s="348"/>
    </row>
    <row r="48" spans="1:22" ht="38.25" customHeight="1">
      <c r="A48" s="804" t="s">
        <v>168</v>
      </c>
      <c r="B48" s="805"/>
      <c r="C48" s="805"/>
      <c r="D48" s="805"/>
      <c r="E48" s="805"/>
      <c r="F48" s="805"/>
      <c r="G48" s="805"/>
      <c r="H48" s="805"/>
      <c r="I48" s="348"/>
      <c r="J48" s="806" t="s">
        <v>348</v>
      </c>
      <c r="K48" s="807"/>
      <c r="L48" s="807"/>
      <c r="M48" s="807"/>
      <c r="N48" s="807"/>
      <c r="O48" s="807"/>
      <c r="P48" s="807"/>
      <c r="Q48" s="807"/>
      <c r="R48" s="348"/>
      <c r="S48" s="348"/>
      <c r="T48" s="348"/>
      <c r="U48" s="348"/>
      <c r="V48" s="348"/>
    </row>
    <row r="49" spans="1:24" ht="18.75">
      <c r="A49" s="88" t="s">
        <v>164</v>
      </c>
      <c r="B49" s="88" t="s">
        <v>36</v>
      </c>
      <c r="C49" s="88" t="s">
        <v>37</v>
      </c>
      <c r="D49" s="130" t="s">
        <v>287</v>
      </c>
      <c r="E49" s="130" t="s">
        <v>98</v>
      </c>
      <c r="F49" s="88" t="s">
        <v>165</v>
      </c>
      <c r="G49" s="130" t="s">
        <v>347</v>
      </c>
      <c r="H49" s="88" t="s">
        <v>14</v>
      </c>
      <c r="I49" s="348"/>
      <c r="J49" s="88"/>
      <c r="K49" s="88" t="s">
        <v>36</v>
      </c>
      <c r="L49" s="88" t="s">
        <v>37</v>
      </c>
      <c r="M49" s="130" t="s">
        <v>287</v>
      </c>
      <c r="N49" s="130" t="s">
        <v>98</v>
      </c>
      <c r="O49" s="88" t="s">
        <v>165</v>
      </c>
      <c r="P49" s="130" t="s">
        <v>347</v>
      </c>
      <c r="Q49" s="62" t="s">
        <v>14</v>
      </c>
      <c r="R49" s="348"/>
      <c r="S49" s="348"/>
      <c r="T49" s="348"/>
      <c r="U49" s="348"/>
      <c r="V49" s="348"/>
      <c r="X49" s="3">
        <v>1</v>
      </c>
    </row>
    <row r="50" spans="1:24" s="131" customFormat="1" ht="19.5" customHeight="1">
      <c r="A50" s="163" t="s">
        <v>343</v>
      </c>
      <c r="B50" s="140">
        <f>IF(E39=0,K50,E39)</f>
        <v>0.67272129498835398</v>
      </c>
      <c r="C50" s="574">
        <f>IF(F39=0,L50,F39)</f>
        <v>0</v>
      </c>
      <c r="D50" s="574">
        <f>IF(G39=0,M50,G39)</f>
        <v>0</v>
      </c>
      <c r="E50" s="574">
        <f>IF($B$36="oui",IF(H39=0,N50,H39),0)</f>
        <v>0.32727870501164602</v>
      </c>
      <c r="F50" s="574">
        <f>IF(I39=0,O50,O50)</f>
        <v>0</v>
      </c>
      <c r="G50" s="574">
        <f>IF(J39=0,P50,P50)</f>
        <v>0</v>
      </c>
      <c r="H50" s="610">
        <f>SUM(B50:F50)</f>
        <v>1</v>
      </c>
      <c r="I50" s="348"/>
      <c r="J50" s="163" t="s">
        <v>343</v>
      </c>
      <c r="K50" s="137">
        <v>0.67272129498835398</v>
      </c>
      <c r="L50" s="137">
        <v>0</v>
      </c>
      <c r="M50" s="137">
        <v>0</v>
      </c>
      <c r="N50" s="137">
        <v>0.32727870501164602</v>
      </c>
      <c r="O50" s="137">
        <v>0</v>
      </c>
      <c r="P50" s="137">
        <v>0</v>
      </c>
      <c r="Q50" s="610">
        <f>SUM(K50:P50)</f>
        <v>1</v>
      </c>
      <c r="R50" s="348"/>
      <c r="S50" s="348"/>
      <c r="T50" s="348"/>
      <c r="U50" s="348"/>
      <c r="V50" s="348"/>
    </row>
    <row r="51" spans="1:24" s="131" customFormat="1" ht="19.5" customHeight="1">
      <c r="A51" s="164" t="s">
        <v>344</v>
      </c>
      <c r="B51" s="141">
        <f t="shared" ref="B51:C54" si="13">IF(E40=0,K51,E40)</f>
        <v>1</v>
      </c>
      <c r="C51" s="575">
        <f t="shared" si="13"/>
        <v>0</v>
      </c>
      <c r="D51" s="575">
        <f t="shared" ref="D51:D54" si="14">IF(G40=0,M51,G40)</f>
        <v>0</v>
      </c>
      <c r="E51" s="575">
        <f t="shared" ref="E51:E54" si="15">IF($B$36="oui",IF(H40=0,N51,H40),0)</f>
        <v>0</v>
      </c>
      <c r="F51" s="575">
        <f t="shared" ref="F51:F54" si="16">IF(I40=0,O51,O51)</f>
        <v>0</v>
      </c>
      <c r="G51" s="575">
        <f t="shared" ref="G51:G54" si="17">IF(J40=0,P51,P51)</f>
        <v>0</v>
      </c>
      <c r="H51" s="610">
        <f>SUM(B51:F51)</f>
        <v>1</v>
      </c>
      <c r="I51" s="348"/>
      <c r="J51" s="164" t="s">
        <v>344</v>
      </c>
      <c r="K51" s="138">
        <v>1</v>
      </c>
      <c r="L51" s="138">
        <v>0</v>
      </c>
      <c r="M51" s="138">
        <v>0</v>
      </c>
      <c r="N51" s="138">
        <v>0</v>
      </c>
      <c r="O51" s="138">
        <v>0</v>
      </c>
      <c r="P51" s="138">
        <v>0</v>
      </c>
      <c r="Q51" s="610">
        <f t="shared" ref="Q51:Q54" si="18">SUM(K51:P51)</f>
        <v>1</v>
      </c>
      <c r="R51" s="348"/>
      <c r="S51" s="348"/>
      <c r="T51" s="348"/>
      <c r="U51" s="348"/>
      <c r="V51" s="348"/>
    </row>
    <row r="52" spans="1:24" s="131" customFormat="1" ht="39.75" customHeight="1">
      <c r="A52" s="165" t="s">
        <v>345</v>
      </c>
      <c r="B52" s="142">
        <f t="shared" si="13"/>
        <v>0.67778537561914165</v>
      </c>
      <c r="C52" s="576">
        <f t="shared" si="13"/>
        <v>0.22971186888712661</v>
      </c>
      <c r="D52" s="576">
        <f t="shared" si="14"/>
        <v>0</v>
      </c>
      <c r="E52" s="576">
        <f t="shared" si="15"/>
        <v>9.2502755493731728E-2</v>
      </c>
      <c r="F52" s="576">
        <f t="shared" si="16"/>
        <v>0</v>
      </c>
      <c r="G52" s="576">
        <f t="shared" si="17"/>
        <v>0</v>
      </c>
      <c r="H52" s="611">
        <f>SUM(B52:F52)</f>
        <v>1</v>
      </c>
      <c r="I52" s="348"/>
      <c r="J52" s="165" t="s">
        <v>345</v>
      </c>
      <c r="K52" s="139">
        <v>0.67778537561914165</v>
      </c>
      <c r="L52" s="139">
        <v>0.22971186888712661</v>
      </c>
      <c r="M52" s="139">
        <v>0</v>
      </c>
      <c r="N52" s="139">
        <v>9.2502755493731728E-2</v>
      </c>
      <c r="O52" s="139">
        <v>0</v>
      </c>
      <c r="P52" s="139">
        <v>0</v>
      </c>
      <c r="Q52" s="611">
        <f t="shared" si="18"/>
        <v>1</v>
      </c>
      <c r="R52" s="348"/>
      <c r="S52" s="348"/>
      <c r="T52" s="348"/>
      <c r="U52" s="348"/>
      <c r="V52" s="348"/>
    </row>
    <row r="53" spans="1:24" s="131" customFormat="1" ht="33.75" customHeight="1">
      <c r="A53" s="163" t="s">
        <v>166</v>
      </c>
      <c r="B53" s="140">
        <f t="shared" si="13"/>
        <v>0.43264543527988525</v>
      </c>
      <c r="C53" s="574">
        <f t="shared" si="13"/>
        <v>0</v>
      </c>
      <c r="D53" s="574">
        <f t="shared" si="14"/>
        <v>0</v>
      </c>
      <c r="E53" s="574">
        <f t="shared" si="15"/>
        <v>0.5673545647201147</v>
      </c>
      <c r="F53" s="574">
        <f t="shared" si="16"/>
        <v>0</v>
      </c>
      <c r="G53" s="574">
        <f t="shared" si="17"/>
        <v>0</v>
      </c>
      <c r="H53" s="610">
        <f>SUM(B53:F53)</f>
        <v>1</v>
      </c>
      <c r="I53" s="348"/>
      <c r="J53" s="163" t="s">
        <v>166</v>
      </c>
      <c r="K53" s="137">
        <v>0.43264543527988525</v>
      </c>
      <c r="L53" s="137">
        <v>0</v>
      </c>
      <c r="M53" s="137">
        <v>0</v>
      </c>
      <c r="N53" s="137">
        <v>0.5673545647201147</v>
      </c>
      <c r="O53" s="137">
        <v>0</v>
      </c>
      <c r="P53" s="137">
        <v>0</v>
      </c>
      <c r="Q53" s="610">
        <f t="shared" si="18"/>
        <v>1</v>
      </c>
      <c r="R53" s="351"/>
      <c r="S53" s="351"/>
      <c r="T53" s="351"/>
      <c r="U53" s="351"/>
      <c r="V53" s="351"/>
    </row>
    <row r="54" spans="1:24" s="131" customFormat="1" ht="24" customHeight="1">
      <c r="A54" s="165" t="s">
        <v>167</v>
      </c>
      <c r="B54" s="142">
        <f t="shared" si="13"/>
        <v>0.60312463609111933</v>
      </c>
      <c r="C54" s="576">
        <f t="shared" si="13"/>
        <v>6.2043038033074245E-3</v>
      </c>
      <c r="D54" s="576">
        <f t="shared" si="14"/>
        <v>0</v>
      </c>
      <c r="E54" s="576">
        <f t="shared" si="15"/>
        <v>0.39067106010557323</v>
      </c>
      <c r="F54" s="576">
        <f t="shared" si="16"/>
        <v>0</v>
      </c>
      <c r="G54" s="576">
        <f t="shared" si="17"/>
        <v>0</v>
      </c>
      <c r="H54" s="611">
        <f>SUM(B54:F54)</f>
        <v>1</v>
      </c>
      <c r="I54" s="348"/>
      <c r="J54" s="165" t="s">
        <v>167</v>
      </c>
      <c r="K54" s="139">
        <v>0.60312463609111933</v>
      </c>
      <c r="L54" s="139">
        <v>6.2043038033074245E-3</v>
      </c>
      <c r="M54" s="139">
        <v>0</v>
      </c>
      <c r="N54" s="139">
        <v>0.39067106010557323</v>
      </c>
      <c r="O54" s="139">
        <v>0</v>
      </c>
      <c r="P54" s="139">
        <v>0</v>
      </c>
      <c r="Q54" s="611">
        <f t="shared" si="18"/>
        <v>1</v>
      </c>
      <c r="R54" s="351"/>
      <c r="S54" s="351"/>
      <c r="T54" s="351"/>
      <c r="U54" s="351"/>
      <c r="V54" s="351"/>
    </row>
    <row r="55" spans="1:24" ht="26.25" customHeight="1">
      <c r="A55" s="348"/>
      <c r="B55" s="348"/>
      <c r="C55" s="348"/>
      <c r="D55" s="348"/>
      <c r="E55" s="348"/>
      <c r="F55" s="348"/>
      <c r="G55" s="348"/>
      <c r="H55" s="348"/>
      <c r="I55" s="348"/>
      <c r="J55" s="348" t="s">
        <v>346</v>
      </c>
      <c r="K55" s="348"/>
      <c r="L55" s="348"/>
      <c r="M55" s="348"/>
      <c r="N55" s="348"/>
      <c r="O55" s="348"/>
      <c r="P55" s="348"/>
      <c r="Q55" s="348"/>
      <c r="R55" s="348"/>
      <c r="S55" s="348"/>
      <c r="T55" s="348"/>
      <c r="U55" s="348"/>
      <c r="V55" s="348"/>
    </row>
    <row r="56" spans="1:24">
      <c r="A56" s="348"/>
      <c r="B56" s="348"/>
      <c r="C56" s="348"/>
      <c r="D56" s="348"/>
      <c r="E56" s="348"/>
      <c r="F56" s="348"/>
      <c r="G56" s="348"/>
      <c r="H56" s="348"/>
      <c r="I56" s="348"/>
      <c r="J56" s="348"/>
      <c r="K56" s="348"/>
      <c r="L56" s="348"/>
      <c r="M56" s="348"/>
      <c r="N56" s="348"/>
      <c r="O56" s="348"/>
      <c r="P56" s="348"/>
      <c r="Q56" s="348"/>
      <c r="R56" s="348"/>
      <c r="S56" s="348"/>
      <c r="T56" s="348"/>
      <c r="U56" s="348"/>
      <c r="V56" s="348"/>
    </row>
    <row r="57" spans="1:24" ht="33.75" customHeight="1">
      <c r="A57" s="800" t="s">
        <v>286</v>
      </c>
      <c r="B57" s="800"/>
      <c r="C57" s="800"/>
      <c r="D57" s="221"/>
      <c r="E57" s="221"/>
      <c r="F57" s="221"/>
      <c r="G57" s="221"/>
      <c r="H57" s="221"/>
      <c r="I57" s="221"/>
      <c r="J57" s="221"/>
      <c r="K57" s="221"/>
      <c r="L57" s="329"/>
      <c r="M57" s="221"/>
      <c r="N57" s="221"/>
      <c r="O57" s="221"/>
      <c r="P57" s="253"/>
      <c r="Q57" s="253"/>
      <c r="R57" s="253"/>
      <c r="S57" s="253"/>
      <c r="T57" s="253"/>
      <c r="U57" s="253"/>
      <c r="V57" s="253"/>
    </row>
    <row r="58" spans="1:24">
      <c r="A58" s="348"/>
      <c r="B58" s="348"/>
      <c r="C58" s="348"/>
      <c r="D58" s="348"/>
      <c r="E58" s="348"/>
      <c r="F58" s="348"/>
      <c r="G58" s="348"/>
      <c r="H58" s="348"/>
      <c r="I58" s="348"/>
      <c r="J58" s="348"/>
      <c r="K58" s="348"/>
      <c r="L58" s="348"/>
      <c r="M58" s="348"/>
      <c r="N58" s="348"/>
      <c r="O58" s="348"/>
      <c r="P58" s="348"/>
      <c r="Q58" s="348"/>
      <c r="R58" s="348"/>
      <c r="S58" s="348"/>
      <c r="T58" s="348"/>
      <c r="U58" s="348"/>
      <c r="V58" s="348"/>
    </row>
    <row r="59" spans="1:24">
      <c r="A59" s="41" t="s">
        <v>61</v>
      </c>
      <c r="B59" s="352">
        <v>0</v>
      </c>
      <c r="C59" s="143" t="s">
        <v>290</v>
      </c>
      <c r="D59" s="348"/>
      <c r="E59" s="348"/>
      <c r="F59" s="348"/>
      <c r="G59" s="348"/>
      <c r="H59" s="348"/>
      <c r="I59" s="348"/>
      <c r="J59" s="348"/>
      <c r="K59" s="348"/>
      <c r="L59" s="348"/>
      <c r="M59" s="348"/>
      <c r="N59" s="348"/>
      <c r="O59" s="348"/>
      <c r="P59" s="348"/>
      <c r="Q59" s="348"/>
      <c r="R59" s="348"/>
      <c r="S59" s="348"/>
      <c r="T59" s="348"/>
      <c r="U59" s="348"/>
      <c r="V59" s="348"/>
    </row>
    <row r="60" spans="1:24">
      <c r="A60" s="129" t="s">
        <v>38</v>
      </c>
      <c r="B60" s="352">
        <v>0</v>
      </c>
      <c r="C60" s="143" t="s">
        <v>290</v>
      </c>
      <c r="D60" s="348"/>
      <c r="E60" s="348"/>
      <c r="F60" s="348"/>
      <c r="G60" s="348"/>
      <c r="H60" s="348"/>
      <c r="I60" s="348"/>
      <c r="J60" s="348"/>
      <c r="K60" s="348"/>
      <c r="L60" s="348"/>
      <c r="M60" s="348"/>
      <c r="N60" s="348"/>
      <c r="O60" s="348"/>
      <c r="P60" s="348"/>
      <c r="Q60" s="348"/>
      <c r="R60" s="348"/>
      <c r="S60" s="348"/>
      <c r="T60" s="348"/>
      <c r="U60" s="348"/>
      <c r="V60" s="348"/>
    </row>
    <row r="61" spans="1:24">
      <c r="A61" s="348"/>
      <c r="B61" s="348"/>
      <c r="C61" s="348"/>
      <c r="D61" s="348"/>
      <c r="E61" s="348"/>
      <c r="F61" s="348"/>
      <c r="G61" s="348"/>
      <c r="H61" s="348"/>
      <c r="I61" s="348"/>
      <c r="J61" s="348"/>
      <c r="K61" s="348"/>
      <c r="L61" s="348"/>
      <c r="M61" s="348"/>
      <c r="N61" s="348"/>
      <c r="O61" s="348"/>
      <c r="P61" s="348"/>
      <c r="Q61" s="348"/>
      <c r="R61" s="348"/>
      <c r="S61" s="348"/>
      <c r="T61" s="348"/>
      <c r="U61" s="348"/>
      <c r="V61" s="348"/>
    </row>
    <row r="62" spans="1:24" ht="34.5" customHeight="1" thickBot="1">
      <c r="A62" s="801" t="s">
        <v>170</v>
      </c>
      <c r="B62" s="801"/>
      <c r="C62" s="221"/>
      <c r="D62" s="221"/>
      <c r="E62" s="221"/>
      <c r="F62" s="221"/>
      <c r="G62" s="221"/>
      <c r="H62" s="221"/>
      <c r="I62" s="221"/>
      <c r="J62" s="221"/>
      <c r="K62" s="221"/>
      <c r="L62" s="329"/>
      <c r="M62" s="221"/>
      <c r="N62" s="221"/>
      <c r="O62" s="221"/>
      <c r="P62" s="253"/>
      <c r="Q62" s="253"/>
      <c r="R62" s="253"/>
      <c r="S62" s="253"/>
      <c r="T62" s="253"/>
      <c r="U62" s="253"/>
      <c r="V62" s="253"/>
    </row>
    <row r="63" spans="1:24" ht="44.25" customHeight="1">
      <c r="A63" s="353" t="s">
        <v>364</v>
      </c>
      <c r="B63" s="577" t="s">
        <v>363</v>
      </c>
      <c r="C63" s="354"/>
      <c r="D63" s="354"/>
      <c r="E63" s="354"/>
      <c r="F63" s="354"/>
      <c r="G63" s="354"/>
      <c r="H63" s="354"/>
      <c r="I63" s="354"/>
      <c r="J63" s="354"/>
      <c r="K63" s="354"/>
      <c r="L63" s="354"/>
      <c r="M63" s="354"/>
      <c r="N63" s="354"/>
      <c r="O63" s="354"/>
      <c r="P63" s="354"/>
      <c r="Q63" s="354"/>
      <c r="R63" s="354"/>
      <c r="S63" s="354"/>
      <c r="T63" s="354"/>
      <c r="U63" s="354"/>
      <c r="V63" s="354"/>
    </row>
    <row r="64" spans="1:24" s="68" customFormat="1" ht="44.25" customHeight="1" thickBot="1">
      <c r="A64" s="355" t="s">
        <v>365</v>
      </c>
      <c r="B64" s="578" t="s">
        <v>363</v>
      </c>
      <c r="C64" s="354"/>
      <c r="D64" s="354"/>
      <c r="E64" s="354"/>
      <c r="F64" s="354"/>
      <c r="G64" s="354"/>
      <c r="H64" s="354"/>
      <c r="I64" s="354"/>
      <c r="J64" s="354"/>
      <c r="K64" s="354"/>
      <c r="L64" s="354"/>
      <c r="M64" s="354"/>
      <c r="N64" s="354"/>
      <c r="O64" s="354"/>
      <c r="P64" s="354"/>
      <c r="Q64" s="354"/>
      <c r="R64" s="354"/>
      <c r="S64" s="354"/>
      <c r="T64" s="354"/>
      <c r="U64" s="354"/>
      <c r="V64" s="354"/>
    </row>
    <row r="65" spans="1:22" ht="38.25" customHeight="1">
      <c r="A65" s="795" t="s">
        <v>171</v>
      </c>
      <c r="B65" s="795"/>
      <c r="C65" s="354"/>
      <c r="D65" s="354"/>
      <c r="E65" s="354"/>
      <c r="F65" s="354"/>
      <c r="G65" s="354"/>
      <c r="H65" s="354"/>
      <c r="I65" s="354"/>
      <c r="J65" s="354"/>
      <c r="K65" s="354"/>
      <c r="L65" s="354"/>
      <c r="M65" s="354"/>
      <c r="N65" s="354"/>
      <c r="O65" s="354"/>
      <c r="P65" s="354"/>
      <c r="Q65" s="354"/>
      <c r="R65" s="354"/>
      <c r="S65" s="354"/>
      <c r="T65" s="354"/>
      <c r="U65" s="354"/>
      <c r="V65" s="354"/>
    </row>
    <row r="66" spans="1:22" ht="18.75">
      <c r="A66" s="168" t="s">
        <v>172</v>
      </c>
      <c r="B66" s="169" t="s">
        <v>173</v>
      </c>
      <c r="C66" s="354"/>
      <c r="D66" s="354"/>
      <c r="E66" s="354"/>
      <c r="F66" s="354"/>
      <c r="G66" s="354"/>
      <c r="H66" s="354"/>
      <c r="I66" s="354"/>
      <c r="J66" s="354"/>
      <c r="K66" s="354"/>
      <c r="L66" s="354"/>
      <c r="M66" s="354"/>
      <c r="N66" s="354"/>
      <c r="O66" s="354"/>
      <c r="P66" s="354"/>
      <c r="Q66" s="354"/>
      <c r="R66" s="354"/>
      <c r="S66" s="354"/>
      <c r="T66" s="354"/>
      <c r="U66" s="354"/>
      <c r="V66" s="354"/>
    </row>
    <row r="67" spans="1:22">
      <c r="A67" s="170" t="s">
        <v>350</v>
      </c>
      <c r="B67" s="83">
        <v>0</v>
      </c>
      <c r="C67" s="354"/>
      <c r="D67" s="354"/>
      <c r="E67" s="354"/>
      <c r="F67" s="354"/>
      <c r="G67" s="354"/>
      <c r="H67" s="354"/>
      <c r="I67" s="354"/>
      <c r="J67" s="354"/>
      <c r="K67" s="354"/>
      <c r="L67" s="354"/>
      <c r="M67" s="354"/>
      <c r="N67" s="354"/>
      <c r="O67" s="354"/>
      <c r="P67" s="354"/>
      <c r="Q67" s="354"/>
      <c r="R67" s="354"/>
      <c r="S67" s="354"/>
      <c r="T67" s="354"/>
      <c r="U67" s="354"/>
      <c r="V67" s="354"/>
    </row>
    <row r="68" spans="1:22">
      <c r="A68" s="171" t="s">
        <v>351</v>
      </c>
      <c r="B68" s="83">
        <v>0</v>
      </c>
      <c r="C68" s="354"/>
      <c r="D68" s="354"/>
      <c r="E68" s="354"/>
      <c r="F68" s="354"/>
      <c r="G68" s="354"/>
      <c r="H68" s="354"/>
      <c r="I68" s="354"/>
      <c r="J68" s="354"/>
      <c r="K68" s="354"/>
      <c r="L68" s="354"/>
      <c r="M68" s="354"/>
      <c r="N68" s="354"/>
      <c r="O68" s="354"/>
      <c r="P68" s="354"/>
      <c r="Q68" s="354"/>
      <c r="R68" s="354"/>
      <c r="S68" s="354"/>
      <c r="T68" s="354"/>
      <c r="U68" s="354"/>
      <c r="V68" s="354"/>
    </row>
    <row r="69" spans="1:22">
      <c r="A69" s="172" t="s">
        <v>39</v>
      </c>
      <c r="B69" s="83">
        <v>0</v>
      </c>
      <c r="C69" s="354"/>
      <c r="D69" s="354"/>
      <c r="E69" s="354"/>
      <c r="F69" s="354"/>
      <c r="G69" s="354"/>
      <c r="H69" s="354"/>
      <c r="I69" s="354"/>
      <c r="J69" s="354"/>
      <c r="K69" s="354"/>
      <c r="L69" s="354"/>
      <c r="M69" s="354"/>
      <c r="N69" s="354"/>
      <c r="O69" s="354"/>
      <c r="P69" s="354"/>
      <c r="Q69" s="354"/>
      <c r="R69" s="354"/>
      <c r="S69" s="354"/>
      <c r="T69" s="354"/>
      <c r="U69" s="354"/>
      <c r="V69" s="354"/>
    </row>
    <row r="70" spans="1:22">
      <c r="A70" s="170" t="s">
        <v>352</v>
      </c>
      <c r="B70" s="83">
        <v>0</v>
      </c>
      <c r="C70" s="354"/>
      <c r="D70" s="354"/>
      <c r="E70" s="354"/>
      <c r="F70" s="354"/>
      <c r="G70" s="354"/>
      <c r="H70" s="354"/>
      <c r="I70" s="354"/>
      <c r="J70" s="354"/>
      <c r="K70" s="354"/>
      <c r="L70" s="354"/>
      <c r="M70" s="354"/>
      <c r="N70" s="354"/>
      <c r="O70" s="354"/>
      <c r="P70" s="354"/>
      <c r="Q70" s="354"/>
      <c r="R70" s="354"/>
      <c r="S70" s="354"/>
      <c r="T70" s="354"/>
      <c r="U70" s="354"/>
      <c r="V70" s="354"/>
    </row>
    <row r="71" spans="1:22">
      <c r="A71" s="171" t="s">
        <v>353</v>
      </c>
      <c r="B71" s="83">
        <v>0</v>
      </c>
      <c r="C71" s="354"/>
      <c r="D71" s="354"/>
      <c r="E71" s="354"/>
      <c r="F71" s="354"/>
      <c r="G71" s="354"/>
      <c r="H71" s="354"/>
      <c r="I71" s="354"/>
      <c r="J71" s="354"/>
      <c r="K71" s="354"/>
      <c r="L71" s="354"/>
      <c r="M71" s="354"/>
      <c r="N71" s="354"/>
      <c r="O71" s="354"/>
      <c r="P71" s="354"/>
      <c r="Q71" s="354"/>
      <c r="R71" s="354"/>
      <c r="S71" s="354"/>
      <c r="T71" s="354"/>
      <c r="U71" s="354"/>
      <c r="V71" s="354"/>
    </row>
    <row r="72" spans="1:22">
      <c r="A72" s="172" t="s">
        <v>354</v>
      </c>
      <c r="B72" s="83">
        <v>0</v>
      </c>
      <c r="C72" s="354"/>
      <c r="D72" s="354"/>
      <c r="E72" s="354"/>
      <c r="F72" s="354"/>
      <c r="G72" s="354"/>
      <c r="H72" s="354"/>
      <c r="I72" s="354"/>
      <c r="J72" s="354"/>
      <c r="K72" s="354"/>
      <c r="L72" s="354"/>
      <c r="M72" s="354"/>
      <c r="N72" s="354"/>
      <c r="O72" s="354"/>
      <c r="P72" s="354"/>
      <c r="Q72" s="354"/>
      <c r="R72" s="354"/>
      <c r="S72" s="354"/>
      <c r="T72" s="354"/>
      <c r="U72" s="354"/>
      <c r="V72" s="354"/>
    </row>
    <row r="73" spans="1:22">
      <c r="A73" s="170" t="s">
        <v>355</v>
      </c>
      <c r="B73" s="83">
        <v>0</v>
      </c>
      <c r="C73" s="354"/>
      <c r="D73" s="354"/>
      <c r="E73" s="354"/>
      <c r="F73" s="354"/>
      <c r="G73" s="354"/>
      <c r="H73" s="354"/>
      <c r="I73" s="354"/>
      <c r="J73" s="354"/>
      <c r="K73" s="354"/>
      <c r="L73" s="354"/>
      <c r="M73" s="354"/>
      <c r="N73" s="354"/>
      <c r="O73" s="354"/>
      <c r="P73" s="354"/>
      <c r="Q73" s="354"/>
      <c r="R73" s="354"/>
      <c r="S73" s="354"/>
      <c r="T73" s="354"/>
      <c r="U73" s="354"/>
      <c r="V73" s="354"/>
    </row>
    <row r="74" spans="1:22">
      <c r="A74" s="171" t="s">
        <v>356</v>
      </c>
      <c r="B74" s="83">
        <v>0</v>
      </c>
      <c r="C74" s="354"/>
      <c r="D74" s="354"/>
      <c r="E74" s="354"/>
      <c r="F74" s="354"/>
      <c r="G74" s="354"/>
      <c r="H74" s="354"/>
      <c r="I74" s="354"/>
      <c r="J74" s="354"/>
      <c r="K74" s="354"/>
      <c r="L74" s="354"/>
      <c r="M74" s="354"/>
      <c r="N74" s="354"/>
      <c r="O74" s="354"/>
      <c r="P74" s="354"/>
      <c r="Q74" s="354"/>
      <c r="R74" s="354"/>
      <c r="S74" s="354"/>
      <c r="T74" s="354"/>
      <c r="U74" s="354"/>
      <c r="V74" s="354"/>
    </row>
    <row r="75" spans="1:22">
      <c r="A75" s="172" t="s">
        <v>357</v>
      </c>
      <c r="B75" s="83">
        <v>0</v>
      </c>
      <c r="C75" s="354"/>
      <c r="D75" s="354"/>
      <c r="E75" s="354"/>
      <c r="F75" s="354"/>
      <c r="G75" s="354"/>
      <c r="H75" s="354"/>
      <c r="I75" s="354"/>
      <c r="J75" s="354"/>
      <c r="K75" s="354"/>
      <c r="L75" s="354"/>
      <c r="M75" s="354"/>
      <c r="N75" s="354"/>
      <c r="O75" s="354"/>
      <c r="P75" s="354"/>
      <c r="Q75" s="354"/>
      <c r="R75" s="354"/>
      <c r="S75" s="354"/>
      <c r="T75" s="354"/>
      <c r="U75" s="354"/>
      <c r="V75" s="354"/>
    </row>
    <row r="76" spans="1:22">
      <c r="A76" s="185" t="s">
        <v>358</v>
      </c>
      <c r="B76" s="83">
        <v>0</v>
      </c>
      <c r="C76" s="354"/>
      <c r="D76" s="354"/>
      <c r="E76" s="354"/>
      <c r="F76" s="354"/>
      <c r="G76" s="354"/>
      <c r="H76" s="354"/>
      <c r="I76" s="354"/>
      <c r="J76" s="354"/>
      <c r="K76" s="354"/>
      <c r="L76" s="354"/>
      <c r="M76" s="354"/>
      <c r="N76" s="354"/>
      <c r="O76" s="354"/>
      <c r="P76" s="354"/>
      <c r="Q76" s="354"/>
      <c r="R76" s="354"/>
      <c r="S76" s="354"/>
      <c r="T76" s="354"/>
      <c r="U76" s="354"/>
      <c r="V76" s="354"/>
    </row>
    <row r="77" spans="1:22">
      <c r="A77" s="356" t="s">
        <v>14</v>
      </c>
      <c r="B77" s="357">
        <f>SUM(B67:B76)</f>
        <v>0</v>
      </c>
      <c r="C77" s="354"/>
      <c r="D77" s="354"/>
      <c r="E77" s="354"/>
      <c r="F77" s="354"/>
      <c r="G77" s="354"/>
      <c r="H77" s="354"/>
      <c r="I77" s="354"/>
      <c r="J77" s="354"/>
      <c r="K77" s="354"/>
      <c r="L77" s="354"/>
      <c r="M77" s="354"/>
      <c r="N77" s="354"/>
      <c r="O77" s="354"/>
      <c r="P77" s="354"/>
      <c r="Q77" s="354"/>
      <c r="R77" s="354"/>
      <c r="S77" s="354"/>
      <c r="T77" s="354"/>
      <c r="U77" s="354"/>
      <c r="V77" s="354"/>
    </row>
    <row r="78" spans="1:22">
      <c r="A78" s="354"/>
      <c r="B78" s="354"/>
      <c r="C78" s="354"/>
      <c r="D78" s="354"/>
      <c r="E78" s="354"/>
      <c r="F78" s="354"/>
      <c r="G78" s="354"/>
      <c r="H78" s="354"/>
      <c r="I78" s="354"/>
      <c r="J78" s="354"/>
      <c r="K78" s="354"/>
      <c r="L78" s="354"/>
      <c r="M78" s="354"/>
      <c r="N78" s="354"/>
      <c r="O78" s="354"/>
      <c r="P78" s="354"/>
      <c r="Q78" s="354"/>
      <c r="R78" s="354"/>
      <c r="S78" s="354"/>
      <c r="T78" s="354"/>
      <c r="U78" s="354"/>
      <c r="V78" s="354"/>
    </row>
    <row r="79" spans="1:22">
      <c r="A79" s="354"/>
      <c r="B79" s="354"/>
      <c r="C79" s="354"/>
      <c r="D79" s="354"/>
      <c r="E79" s="354"/>
      <c r="F79" s="354"/>
      <c r="G79" s="354"/>
      <c r="H79" s="354"/>
      <c r="I79" s="354"/>
      <c r="J79" s="354"/>
      <c r="K79" s="354"/>
      <c r="L79" s="354"/>
      <c r="M79" s="354"/>
      <c r="N79" s="354"/>
      <c r="O79" s="354"/>
      <c r="P79" s="354"/>
      <c r="Q79" s="354"/>
      <c r="R79" s="354"/>
      <c r="S79" s="354"/>
      <c r="T79" s="354"/>
      <c r="U79" s="354"/>
      <c r="V79" s="354"/>
    </row>
    <row r="80" spans="1:22" ht="18.75">
      <c r="A80" s="18" t="s">
        <v>174</v>
      </c>
      <c r="B80" s="220"/>
      <c r="C80" s="221"/>
      <c r="D80" s="221"/>
      <c r="E80" s="221"/>
      <c r="F80" s="221"/>
      <c r="G80" s="221"/>
      <c r="H80" s="221"/>
      <c r="I80" s="221"/>
      <c r="J80" s="221"/>
      <c r="K80" s="221"/>
      <c r="L80" s="329"/>
      <c r="M80" s="221"/>
      <c r="N80" s="221"/>
      <c r="O80" s="221"/>
      <c r="P80" s="253"/>
      <c r="Q80" s="253"/>
      <c r="R80" s="253"/>
      <c r="S80" s="253"/>
      <c r="T80" s="253"/>
      <c r="U80" s="253"/>
      <c r="V80" s="253"/>
    </row>
    <row r="81" spans="1:33">
      <c r="A81" s="330" t="s">
        <v>419</v>
      </c>
      <c r="B81" s="354"/>
      <c r="C81" s="354"/>
      <c r="D81" s="354"/>
      <c r="E81" s="354"/>
      <c r="F81" s="354"/>
      <c r="G81" s="354"/>
      <c r="H81" s="354"/>
      <c r="I81" s="354"/>
      <c r="J81" s="354"/>
      <c r="K81" s="354"/>
      <c r="L81" s="354"/>
      <c r="M81" s="354"/>
      <c r="N81" s="354"/>
      <c r="O81" s="354"/>
      <c r="P81" s="354"/>
      <c r="Q81" s="354"/>
      <c r="R81" s="354"/>
      <c r="S81" s="354"/>
      <c r="T81" s="354"/>
      <c r="U81" s="354"/>
      <c r="V81" s="354"/>
    </row>
    <row r="82" spans="1:33">
      <c r="A82" s="354"/>
      <c r="B82" s="354"/>
      <c r="C82" s="354"/>
      <c r="D82" s="354"/>
      <c r="E82" s="354"/>
      <c r="F82" s="354"/>
      <c r="G82" s="354"/>
      <c r="H82" s="354"/>
      <c r="I82" s="354"/>
      <c r="J82" s="354"/>
      <c r="K82" s="354"/>
      <c r="L82" s="354"/>
      <c r="M82" s="354"/>
      <c r="N82" s="354"/>
      <c r="O82" s="354"/>
      <c r="P82" s="354"/>
      <c r="Q82" s="354"/>
      <c r="R82" s="354"/>
      <c r="S82" s="354"/>
      <c r="T82" s="354"/>
      <c r="U82" s="354"/>
      <c r="V82" s="354"/>
    </row>
    <row r="83" spans="1:33" ht="25.5" customHeight="1">
      <c r="A83" s="808" t="s">
        <v>426</v>
      </c>
      <c r="B83" s="686"/>
      <c r="C83" s="686"/>
      <c r="D83" s="686"/>
      <c r="E83" s="686"/>
      <c r="F83" s="686"/>
      <c r="G83" s="686"/>
      <c r="H83" s="686"/>
      <c r="I83" s="686"/>
      <c r="J83" s="686"/>
      <c r="K83" s="354"/>
      <c r="L83" s="354"/>
      <c r="M83" s="354"/>
      <c r="N83" s="354"/>
      <c r="O83" s="354"/>
      <c r="P83" s="354"/>
      <c r="Q83" s="354"/>
      <c r="R83" s="354"/>
      <c r="S83" s="354"/>
      <c r="T83" s="354"/>
      <c r="U83" s="354"/>
      <c r="V83" s="354"/>
    </row>
    <row r="84" spans="1:33" ht="38.25" thickBot="1">
      <c r="A84" s="130"/>
      <c r="B84" s="144" t="s">
        <v>175</v>
      </c>
      <c r="C84" s="130" t="s">
        <v>36</v>
      </c>
      <c r="D84" s="130" t="s">
        <v>390</v>
      </c>
      <c r="E84" s="132" t="s">
        <v>97</v>
      </c>
      <c r="F84" s="130" t="s">
        <v>37</v>
      </c>
      <c r="G84" s="130" t="s">
        <v>98</v>
      </c>
      <c r="H84" s="132" t="s">
        <v>293</v>
      </c>
      <c r="I84" s="132" t="s">
        <v>292</v>
      </c>
      <c r="J84" s="62" t="s">
        <v>14</v>
      </c>
      <c r="K84" s="354"/>
      <c r="L84" s="354"/>
      <c r="M84" s="354"/>
      <c r="N84" s="354"/>
      <c r="O84" s="354"/>
      <c r="P84" s="354"/>
      <c r="Q84" s="354"/>
      <c r="R84" s="354"/>
      <c r="S84" s="354"/>
      <c r="T84" s="354"/>
      <c r="U84" s="354"/>
      <c r="V84" s="354"/>
    </row>
    <row r="85" spans="1:33" ht="30" customHeight="1">
      <c r="A85" s="170" t="s">
        <v>350</v>
      </c>
      <c r="B85" s="128"/>
      <c r="C85" s="128"/>
      <c r="D85" s="128"/>
      <c r="E85" s="128"/>
      <c r="F85" s="128"/>
      <c r="G85" s="128"/>
      <c r="H85" s="128"/>
      <c r="I85" s="128"/>
      <c r="J85" s="619">
        <f>SUM(C85:I85)</f>
        <v>0</v>
      </c>
      <c r="K85" s="823" t="s">
        <v>424</v>
      </c>
      <c r="L85" s="354"/>
      <c r="M85" s="354"/>
      <c r="N85" s="354"/>
      <c r="O85" s="354"/>
      <c r="P85" s="354"/>
      <c r="Q85" s="354"/>
      <c r="R85" s="354"/>
      <c r="S85" s="354"/>
      <c r="T85" s="354"/>
      <c r="U85" s="354"/>
      <c r="V85" s="354"/>
    </row>
    <row r="86" spans="1:33" ht="15" customHeight="1">
      <c r="A86" s="171" t="s">
        <v>351</v>
      </c>
      <c r="B86" s="128"/>
      <c r="C86" s="128"/>
      <c r="D86" s="128"/>
      <c r="E86" s="128"/>
      <c r="F86" s="128"/>
      <c r="G86" s="128"/>
      <c r="H86" s="128"/>
      <c r="I86" s="128"/>
      <c r="J86" s="619">
        <f t="shared" ref="J86:J94" si="19">SUM(C86:I86)</f>
        <v>0</v>
      </c>
      <c r="K86" s="824"/>
      <c r="L86" s="354"/>
      <c r="M86" s="354"/>
      <c r="N86" s="354"/>
      <c r="O86" s="354"/>
      <c r="P86" s="354"/>
      <c r="Q86" s="354"/>
      <c r="R86" s="354"/>
      <c r="S86" s="354"/>
      <c r="T86" s="354"/>
      <c r="U86" s="354"/>
      <c r="V86" s="354"/>
    </row>
    <row r="87" spans="1:33" ht="15" customHeight="1">
      <c r="A87" s="172" t="s">
        <v>39</v>
      </c>
      <c r="B87" s="128"/>
      <c r="C87" s="128"/>
      <c r="D87" s="128"/>
      <c r="E87" s="128"/>
      <c r="F87" s="128"/>
      <c r="G87" s="128"/>
      <c r="H87" s="128"/>
      <c r="I87" s="128"/>
      <c r="J87" s="619">
        <f t="shared" si="19"/>
        <v>0</v>
      </c>
      <c r="K87" s="824"/>
      <c r="L87" s="354"/>
      <c r="M87" s="354"/>
      <c r="N87" s="354"/>
      <c r="O87" s="354"/>
      <c r="P87" s="354"/>
      <c r="Q87" s="354"/>
      <c r="R87" s="354"/>
      <c r="S87" s="354"/>
      <c r="T87" s="354"/>
      <c r="U87" s="354"/>
      <c r="V87" s="354"/>
    </row>
    <row r="88" spans="1:33" ht="15" customHeight="1">
      <c r="A88" s="170" t="s">
        <v>352</v>
      </c>
      <c r="B88" s="128"/>
      <c r="C88" s="128"/>
      <c r="D88" s="128"/>
      <c r="E88" s="128"/>
      <c r="F88" s="128"/>
      <c r="G88" s="128"/>
      <c r="H88" s="128"/>
      <c r="I88" s="128"/>
      <c r="J88" s="619">
        <f t="shared" si="19"/>
        <v>0</v>
      </c>
      <c r="K88" s="824"/>
      <c r="L88" s="354"/>
      <c r="M88" s="354"/>
      <c r="N88" s="354"/>
      <c r="O88" s="354"/>
      <c r="P88" s="354"/>
      <c r="Q88" s="354"/>
      <c r="R88" s="354"/>
      <c r="S88" s="354"/>
      <c r="T88" s="354"/>
      <c r="U88" s="354"/>
      <c r="V88" s="354"/>
    </row>
    <row r="89" spans="1:33" ht="15" customHeight="1">
      <c r="A89" s="171" t="s">
        <v>353</v>
      </c>
      <c r="B89" s="128"/>
      <c r="C89" s="128"/>
      <c r="D89" s="128"/>
      <c r="E89" s="128"/>
      <c r="F89" s="128"/>
      <c r="G89" s="128"/>
      <c r="H89" s="128"/>
      <c r="I89" s="128"/>
      <c r="J89" s="619">
        <f t="shared" si="19"/>
        <v>0</v>
      </c>
      <c r="K89" s="824"/>
      <c r="L89" s="354"/>
      <c r="M89" s="354"/>
      <c r="N89" s="354"/>
      <c r="O89" s="354"/>
      <c r="P89" s="354"/>
      <c r="Q89" s="354"/>
      <c r="R89" s="354"/>
      <c r="S89" s="354"/>
      <c r="T89" s="354"/>
      <c r="U89" s="354"/>
      <c r="V89" s="354"/>
    </row>
    <row r="90" spans="1:33" ht="15" customHeight="1">
      <c r="A90" s="172" t="s">
        <v>354</v>
      </c>
      <c r="B90" s="128"/>
      <c r="C90" s="128"/>
      <c r="D90" s="128"/>
      <c r="E90" s="128"/>
      <c r="F90" s="128"/>
      <c r="G90" s="128"/>
      <c r="H90" s="128"/>
      <c r="I90" s="128"/>
      <c r="J90" s="619">
        <f t="shared" si="19"/>
        <v>0</v>
      </c>
      <c r="K90" s="824"/>
      <c r="L90" s="354"/>
      <c r="M90" s="354"/>
      <c r="N90" s="354"/>
      <c r="O90" s="354"/>
      <c r="P90" s="354"/>
      <c r="Q90" s="354"/>
      <c r="R90" s="354"/>
      <c r="S90" s="354"/>
      <c r="T90" s="354"/>
      <c r="U90" s="354"/>
      <c r="V90" s="354"/>
    </row>
    <row r="91" spans="1:33" ht="15" customHeight="1">
      <c r="A91" s="170" t="s">
        <v>355</v>
      </c>
      <c r="B91" s="128"/>
      <c r="C91" s="128"/>
      <c r="D91" s="128"/>
      <c r="E91" s="128"/>
      <c r="F91" s="128"/>
      <c r="G91" s="128"/>
      <c r="H91" s="128"/>
      <c r="I91" s="128"/>
      <c r="J91" s="619">
        <f t="shared" si="19"/>
        <v>0</v>
      </c>
      <c r="K91" s="824"/>
      <c r="L91" s="354"/>
      <c r="M91" s="354"/>
      <c r="N91" s="354"/>
      <c r="O91" s="354"/>
      <c r="P91" s="354"/>
      <c r="Q91" s="354"/>
      <c r="R91" s="354"/>
      <c r="S91" s="354"/>
      <c r="T91" s="354"/>
      <c r="U91" s="354"/>
      <c r="V91" s="354"/>
    </row>
    <row r="92" spans="1:33" ht="15" customHeight="1">
      <c r="A92" s="171" t="s">
        <v>356</v>
      </c>
      <c r="B92" s="128"/>
      <c r="C92" s="128"/>
      <c r="D92" s="128"/>
      <c r="E92" s="128"/>
      <c r="F92" s="128"/>
      <c r="G92" s="128"/>
      <c r="H92" s="128"/>
      <c r="I92" s="128"/>
      <c r="J92" s="619">
        <f t="shared" si="19"/>
        <v>0</v>
      </c>
      <c r="K92" s="824"/>
      <c r="L92" s="354"/>
      <c r="M92" s="354"/>
      <c r="N92" s="354"/>
      <c r="O92" s="354"/>
      <c r="P92" s="354"/>
      <c r="Q92" s="354"/>
      <c r="R92" s="354"/>
      <c r="S92" s="354"/>
      <c r="T92" s="354"/>
      <c r="U92" s="354"/>
      <c r="V92" s="354"/>
    </row>
    <row r="93" spans="1:33" ht="15.75" customHeight="1">
      <c r="A93" s="172" t="s">
        <v>357</v>
      </c>
      <c r="B93" s="128"/>
      <c r="C93" s="128"/>
      <c r="D93" s="128"/>
      <c r="E93" s="128"/>
      <c r="F93" s="128"/>
      <c r="G93" s="128"/>
      <c r="H93" s="128"/>
      <c r="I93" s="128"/>
      <c r="J93" s="619">
        <f t="shared" si="19"/>
        <v>0</v>
      </c>
      <c r="K93" s="824"/>
      <c r="L93" s="354"/>
      <c r="M93" s="354"/>
      <c r="N93" s="354"/>
      <c r="O93" s="354"/>
      <c r="P93" s="354"/>
      <c r="Q93" s="354"/>
      <c r="R93" s="354"/>
      <c r="S93" s="354"/>
      <c r="T93" s="354"/>
      <c r="U93" s="354"/>
      <c r="V93" s="354"/>
    </row>
    <row r="94" spans="1:33" s="68" customFormat="1" ht="15" customHeight="1">
      <c r="A94" s="185" t="s">
        <v>358</v>
      </c>
      <c r="B94" s="128"/>
      <c r="C94" s="128"/>
      <c r="D94" s="128"/>
      <c r="E94" s="128"/>
      <c r="F94" s="128"/>
      <c r="G94" s="128"/>
      <c r="H94" s="128"/>
      <c r="I94" s="128"/>
      <c r="J94" s="619">
        <f t="shared" si="19"/>
        <v>0</v>
      </c>
      <c r="K94" s="824"/>
      <c r="L94" s="354"/>
      <c r="M94" s="354"/>
      <c r="N94" s="354"/>
      <c r="O94" s="354"/>
      <c r="P94" s="354"/>
      <c r="Q94" s="354"/>
      <c r="R94" s="354"/>
      <c r="S94" s="354"/>
      <c r="T94" s="354"/>
      <c r="U94" s="354"/>
      <c r="V94" s="354"/>
    </row>
    <row r="95" spans="1:33" ht="15" customHeight="1" thickBot="1">
      <c r="A95" s="50" t="s">
        <v>22</v>
      </c>
      <c r="B95" s="358">
        <f>SUM(B85:B94)</f>
        <v>0</v>
      </c>
      <c r="C95" s="359">
        <f>C85*$B85+C86*$B86+C87*$B87+C88*$B88+C89*$B89+C90*$B90+C91*$B91+C92*$B92+C93*$B93+$B94*C94</f>
        <v>0</v>
      </c>
      <c r="D95" s="359">
        <f t="shared" ref="D95:I95" si="20">D85*$B85+D86*$B86+D87*$B87+D88*$B88+D89*$B89+D90*$B90+D91*$B91+D92*$B92+D93*$B93+$B94*D94</f>
        <v>0</v>
      </c>
      <c r="E95" s="359">
        <f t="shared" si="20"/>
        <v>0</v>
      </c>
      <c r="F95" s="359">
        <f t="shared" si="20"/>
        <v>0</v>
      </c>
      <c r="G95" s="359">
        <f t="shared" si="20"/>
        <v>0</v>
      </c>
      <c r="H95" s="359">
        <f t="shared" si="20"/>
        <v>0</v>
      </c>
      <c r="I95" s="359">
        <f t="shared" si="20"/>
        <v>0</v>
      </c>
      <c r="J95" s="606">
        <f>SUM(C95:I95)</f>
        <v>0</v>
      </c>
      <c r="K95" s="825"/>
      <c r="L95" s="354"/>
      <c r="M95" s="354"/>
      <c r="N95" s="354"/>
      <c r="O95" s="354"/>
      <c r="P95" s="354"/>
      <c r="Q95" s="354"/>
      <c r="R95" s="354"/>
      <c r="S95" s="354"/>
      <c r="T95" s="354"/>
      <c r="U95" s="354"/>
      <c r="V95" s="354"/>
      <c r="W95" s="299"/>
      <c r="X95" s="299"/>
      <c r="Y95" s="299"/>
      <c r="Z95" s="299"/>
      <c r="AA95" s="299"/>
      <c r="AB95" s="299"/>
      <c r="AC95" s="299"/>
      <c r="AD95" s="299"/>
      <c r="AE95" s="299"/>
      <c r="AF95" s="299"/>
      <c r="AG95" s="299"/>
    </row>
    <row r="96" spans="1:33">
      <c r="A96" s="354"/>
      <c r="B96" s="354"/>
      <c r="C96" s="354"/>
      <c r="D96" s="354"/>
      <c r="E96" s="354"/>
      <c r="F96" s="354"/>
      <c r="G96" s="354"/>
      <c r="H96" s="354"/>
      <c r="I96" s="354"/>
      <c r="J96" s="354"/>
      <c r="K96" s="605"/>
      <c r="L96" s="354"/>
      <c r="M96" s="354"/>
      <c r="N96" s="354"/>
      <c r="O96" s="354"/>
      <c r="P96" s="354"/>
      <c r="Q96" s="354"/>
      <c r="R96" s="354"/>
      <c r="S96" s="354"/>
      <c r="T96" s="354"/>
      <c r="U96" s="354"/>
      <c r="V96" s="354"/>
      <c r="W96" s="299"/>
      <c r="X96" s="299"/>
      <c r="Y96" s="299"/>
      <c r="Z96" s="299"/>
      <c r="AA96" s="299"/>
      <c r="AB96" s="299"/>
      <c r="AC96" s="299"/>
      <c r="AD96" s="299"/>
      <c r="AE96" s="299"/>
      <c r="AF96" s="299"/>
      <c r="AG96" s="299"/>
    </row>
    <row r="97" spans="1:33" ht="21.75" thickBot="1">
      <c r="A97" s="832" t="s">
        <v>176</v>
      </c>
      <c r="B97" s="833"/>
      <c r="C97" s="833"/>
      <c r="D97" s="833"/>
      <c r="E97" s="833"/>
      <c r="F97" s="833"/>
      <c r="G97" s="833"/>
      <c r="H97" s="833"/>
      <c r="I97" s="833"/>
      <c r="J97" s="833"/>
      <c r="K97" s="354"/>
      <c r="L97" s="354"/>
      <c r="M97" s="834" t="s">
        <v>359</v>
      </c>
      <c r="N97" s="834"/>
      <c r="O97" s="834"/>
      <c r="P97" s="834"/>
      <c r="Q97" s="834"/>
      <c r="R97" s="834"/>
      <c r="S97" s="834"/>
      <c r="T97" s="834"/>
      <c r="U97" s="834"/>
      <c r="V97" s="834"/>
      <c r="W97" s="299"/>
      <c r="X97" s="834" t="s">
        <v>359</v>
      </c>
      <c r="Y97" s="834"/>
      <c r="Z97" s="834"/>
      <c r="AA97" s="834"/>
      <c r="AB97" s="834"/>
      <c r="AC97" s="834"/>
      <c r="AD97" s="834"/>
      <c r="AE97" s="834"/>
      <c r="AF97" s="834"/>
      <c r="AG97" s="834"/>
    </row>
    <row r="98" spans="1:33" ht="43.5" customHeight="1">
      <c r="A98" s="147"/>
      <c r="B98" s="148" t="s">
        <v>175</v>
      </c>
      <c r="C98" s="130" t="s">
        <v>36</v>
      </c>
      <c r="D98" s="130" t="s">
        <v>390</v>
      </c>
      <c r="E98" s="132" t="s">
        <v>97</v>
      </c>
      <c r="F98" s="130" t="s">
        <v>37</v>
      </c>
      <c r="G98" s="130" t="s">
        <v>98</v>
      </c>
      <c r="H98" s="132" t="s">
        <v>293</v>
      </c>
      <c r="I98" s="132" t="s">
        <v>292</v>
      </c>
      <c r="J98" s="149" t="s">
        <v>14</v>
      </c>
      <c r="K98" s="354"/>
      <c r="L98" s="354"/>
      <c r="M98" s="145"/>
      <c r="N98" s="146" t="s">
        <v>175</v>
      </c>
      <c r="O98" s="146" t="s">
        <v>36</v>
      </c>
      <c r="P98" s="146" t="s">
        <v>390</v>
      </c>
      <c r="Q98" s="167" t="s">
        <v>97</v>
      </c>
      <c r="R98" s="146" t="s">
        <v>37</v>
      </c>
      <c r="S98" s="146" t="s">
        <v>98</v>
      </c>
      <c r="T98" s="132" t="s">
        <v>293</v>
      </c>
      <c r="U98" s="132" t="s">
        <v>292</v>
      </c>
      <c r="V98" s="149" t="s">
        <v>14</v>
      </c>
      <c r="W98" s="299"/>
      <c r="X98" s="145"/>
      <c r="Y98" s="146" t="s">
        <v>175</v>
      </c>
      <c r="Z98" s="146" t="s">
        <v>36</v>
      </c>
      <c r="AA98" s="146" t="s">
        <v>291</v>
      </c>
      <c r="AB98" s="167" t="s">
        <v>97</v>
      </c>
      <c r="AC98" s="146" t="s">
        <v>37</v>
      </c>
      <c r="AD98" s="146" t="s">
        <v>98</v>
      </c>
      <c r="AE98" s="132" t="s">
        <v>293</v>
      </c>
      <c r="AF98" s="132" t="s">
        <v>292</v>
      </c>
      <c r="AG98" s="607" t="s">
        <v>14</v>
      </c>
    </row>
    <row r="99" spans="1:33" ht="30.75" customHeight="1">
      <c r="A99" s="185" t="s">
        <v>350</v>
      </c>
      <c r="B99" s="150">
        <f t="shared" ref="B99:I99" si="21">IF(B85=0,N99,B85)</f>
        <v>1.0966415352981495E-2</v>
      </c>
      <c r="C99" s="150">
        <f t="shared" si="21"/>
        <v>1</v>
      </c>
      <c r="D99" s="150">
        <f t="shared" si="21"/>
        <v>0</v>
      </c>
      <c r="E99" s="150">
        <f>IF($B$64="oui",IF(E85=0,Q99,G85),0)</f>
        <v>0</v>
      </c>
      <c r="F99" s="150">
        <f t="shared" si="21"/>
        <v>0</v>
      </c>
      <c r="G99" s="150">
        <f>IF($B$63="oui",IF(G85=0,S99,G85),0)</f>
        <v>0</v>
      </c>
      <c r="H99" s="150">
        <f t="shared" si="21"/>
        <v>0</v>
      </c>
      <c r="I99" s="150">
        <f t="shared" si="21"/>
        <v>0</v>
      </c>
      <c r="J99" s="620">
        <f>SUM(C99:I99)</f>
        <v>1</v>
      </c>
      <c r="K99" s="354"/>
      <c r="L99" s="354"/>
      <c r="M99" s="170" t="s">
        <v>350</v>
      </c>
      <c r="N99" s="176">
        <f>Y99/$Y$109</f>
        <v>1.0966415352981495E-2</v>
      </c>
      <c r="O99" s="176">
        <f>Z99/$AG$99</f>
        <v>1</v>
      </c>
      <c r="P99" s="176">
        <f t="shared" ref="P99:U99" si="22">AA99/$AG$99</f>
        <v>0</v>
      </c>
      <c r="Q99" s="176">
        <f t="shared" si="22"/>
        <v>0</v>
      </c>
      <c r="R99" s="176">
        <f t="shared" si="22"/>
        <v>0</v>
      </c>
      <c r="S99" s="176">
        <f t="shared" si="22"/>
        <v>0</v>
      </c>
      <c r="T99" s="176">
        <f t="shared" si="22"/>
        <v>0</v>
      </c>
      <c r="U99" s="176">
        <f t="shared" si="22"/>
        <v>0</v>
      </c>
      <c r="V99" s="625">
        <f>SUM(O99:U99)</f>
        <v>1</v>
      </c>
      <c r="W99" s="299"/>
      <c r="X99" s="170" t="s">
        <v>350</v>
      </c>
      <c r="Y99" s="173">
        <v>24</v>
      </c>
      <c r="Z99" s="173">
        <v>24</v>
      </c>
      <c r="AA99" s="173">
        <v>0</v>
      </c>
      <c r="AB99" s="173">
        <v>0</v>
      </c>
      <c r="AC99" s="173">
        <v>0</v>
      </c>
      <c r="AD99" s="173">
        <v>0</v>
      </c>
      <c r="AE99" s="173">
        <v>0</v>
      </c>
      <c r="AF99" s="173">
        <v>0</v>
      </c>
      <c r="AG99" s="173">
        <f>SUM(Z99:AF99)</f>
        <v>24</v>
      </c>
    </row>
    <row r="100" spans="1:33">
      <c r="A100" s="186" t="s">
        <v>351</v>
      </c>
      <c r="B100" s="151">
        <f t="shared" ref="B100:B108" si="23">IF(B86=0,N100,B86)</f>
        <v>2.284669865204478E-4</v>
      </c>
      <c r="C100" s="151">
        <f t="shared" ref="C100:C108" si="24">IF(C86=0,O100,C86)</f>
        <v>1</v>
      </c>
      <c r="D100" s="151">
        <f t="shared" ref="D100:D108" si="25">IF(D86=0,P100,D86)</f>
        <v>0</v>
      </c>
      <c r="E100" s="151">
        <f t="shared" ref="E100:E109" si="26">IF($B$64="oui",IF(E86=0,Q100,G86),0)</f>
        <v>0</v>
      </c>
      <c r="F100" s="151">
        <f t="shared" ref="F100:F108" si="27">IF(F86=0,R100,F86)</f>
        <v>0</v>
      </c>
      <c r="G100" s="151">
        <f t="shared" ref="G100:G109" si="28">IF($B$63="oui",IF(G86=0,S100,G86),0)</f>
        <v>0</v>
      </c>
      <c r="H100" s="151">
        <f t="shared" ref="H100:H108" si="29">IF(H86=0,T100,H86)</f>
        <v>0</v>
      </c>
      <c r="I100" s="151">
        <f t="shared" ref="I100:I108" si="30">IF(I86=0,U100,I86)</f>
        <v>0</v>
      </c>
      <c r="J100" s="621">
        <f t="shared" ref="J100:J108" si="31">SUM(C100:I100)</f>
        <v>1</v>
      </c>
      <c r="K100" s="354"/>
      <c r="L100" s="354"/>
      <c r="M100" s="171" t="s">
        <v>351</v>
      </c>
      <c r="N100" s="632">
        <f t="shared" ref="N100:N108" si="32">Y100/$Y$109</f>
        <v>2.284669865204478E-4</v>
      </c>
      <c r="O100" s="177">
        <f>Z100/$AG$100</f>
        <v>1</v>
      </c>
      <c r="P100" s="177">
        <f t="shared" ref="P100:U100" si="33">AA100/$AG$100</f>
        <v>0</v>
      </c>
      <c r="Q100" s="177">
        <f t="shared" si="33"/>
        <v>0</v>
      </c>
      <c r="R100" s="177">
        <f t="shared" si="33"/>
        <v>0</v>
      </c>
      <c r="S100" s="177">
        <f t="shared" si="33"/>
        <v>0</v>
      </c>
      <c r="T100" s="177">
        <f t="shared" si="33"/>
        <v>0</v>
      </c>
      <c r="U100" s="177">
        <f t="shared" si="33"/>
        <v>0</v>
      </c>
      <c r="V100" s="626">
        <f t="shared" ref="V100:V108" si="34">SUM(O100:U100)</f>
        <v>1</v>
      </c>
      <c r="W100" s="299"/>
      <c r="X100" s="171" t="s">
        <v>351</v>
      </c>
      <c r="Y100" s="179">
        <v>0.5</v>
      </c>
      <c r="Z100" s="179">
        <v>0.5</v>
      </c>
      <c r="AA100" s="174">
        <v>0</v>
      </c>
      <c r="AB100" s="174">
        <v>0</v>
      </c>
      <c r="AC100" s="174">
        <v>0</v>
      </c>
      <c r="AD100" s="174">
        <v>0</v>
      </c>
      <c r="AE100" s="174">
        <v>0</v>
      </c>
      <c r="AF100" s="174">
        <v>0</v>
      </c>
      <c r="AG100" s="173">
        <f>SUM(Z100:AF100)</f>
        <v>0.5</v>
      </c>
    </row>
    <row r="101" spans="1:33">
      <c r="A101" s="184" t="s">
        <v>39</v>
      </c>
      <c r="B101" s="152">
        <f t="shared" si="23"/>
        <v>7.5851039524788666E-2</v>
      </c>
      <c r="C101" s="152">
        <f t="shared" si="24"/>
        <v>0.3493975903614458</v>
      </c>
      <c r="D101" s="152">
        <f t="shared" si="25"/>
        <v>0</v>
      </c>
      <c r="E101" s="152">
        <f t="shared" si="26"/>
        <v>0</v>
      </c>
      <c r="F101" s="152">
        <f t="shared" si="27"/>
        <v>0</v>
      </c>
      <c r="G101" s="152">
        <f t="shared" si="28"/>
        <v>0.6506024096385542</v>
      </c>
      <c r="H101" s="152">
        <f t="shared" si="29"/>
        <v>0</v>
      </c>
      <c r="I101" s="152">
        <f t="shared" si="30"/>
        <v>0</v>
      </c>
      <c r="J101" s="622">
        <f t="shared" si="31"/>
        <v>1</v>
      </c>
      <c r="K101" s="354"/>
      <c r="L101" s="354"/>
      <c r="M101" s="172" t="s">
        <v>39</v>
      </c>
      <c r="N101" s="178">
        <f t="shared" si="32"/>
        <v>7.5851039524788666E-2</v>
      </c>
      <c r="O101" s="178">
        <f>Z101/$AG$101</f>
        <v>0.3493975903614458</v>
      </c>
      <c r="P101" s="178">
        <f t="shared" ref="P101:U101" si="35">AA101/$AG$101</f>
        <v>0</v>
      </c>
      <c r="Q101" s="178">
        <f t="shared" si="35"/>
        <v>0</v>
      </c>
      <c r="R101" s="178">
        <f t="shared" si="35"/>
        <v>0</v>
      </c>
      <c r="S101" s="178">
        <f t="shared" si="35"/>
        <v>0.6506024096385542</v>
      </c>
      <c r="T101" s="178">
        <f t="shared" si="35"/>
        <v>0</v>
      </c>
      <c r="U101" s="178">
        <f t="shared" si="35"/>
        <v>0</v>
      </c>
      <c r="V101" s="627">
        <f t="shared" si="34"/>
        <v>1</v>
      </c>
      <c r="W101" s="299"/>
      <c r="X101" s="172" t="s">
        <v>39</v>
      </c>
      <c r="Y101" s="175">
        <v>166</v>
      </c>
      <c r="Z101" s="175">
        <v>58</v>
      </c>
      <c r="AA101" s="175">
        <v>0</v>
      </c>
      <c r="AB101" s="175">
        <v>0</v>
      </c>
      <c r="AC101" s="175">
        <v>0</v>
      </c>
      <c r="AD101" s="175">
        <v>108</v>
      </c>
      <c r="AE101" s="175">
        <v>0</v>
      </c>
      <c r="AF101" s="175">
        <v>0</v>
      </c>
      <c r="AG101" s="175">
        <f t="shared" ref="AG101:AG108" si="36">SUM(Z101:AF101)</f>
        <v>166</v>
      </c>
    </row>
    <row r="102" spans="1:33" ht="30">
      <c r="A102" s="185" t="s">
        <v>352</v>
      </c>
      <c r="B102" s="153">
        <f t="shared" si="23"/>
        <v>0.55974411697509707</v>
      </c>
      <c r="C102" s="153">
        <f t="shared" si="24"/>
        <v>0.12068332857667062</v>
      </c>
      <c r="D102" s="153">
        <f t="shared" si="25"/>
        <v>2.8539976352591023E-4</v>
      </c>
      <c r="E102" s="153">
        <f t="shared" si="26"/>
        <v>0.50638072328454364</v>
      </c>
      <c r="F102" s="153">
        <f t="shared" si="27"/>
        <v>0</v>
      </c>
      <c r="G102" s="153">
        <f t="shared" si="28"/>
        <v>0.37265054837525996</v>
      </c>
      <c r="H102" s="153">
        <f t="shared" si="29"/>
        <v>0</v>
      </c>
      <c r="I102" s="153">
        <f t="shared" si="30"/>
        <v>0</v>
      </c>
      <c r="J102" s="623">
        <f t="shared" si="31"/>
        <v>1.0000000000000002</v>
      </c>
      <c r="K102" s="354"/>
      <c r="L102" s="354"/>
      <c r="M102" s="170" t="s">
        <v>352</v>
      </c>
      <c r="N102" s="176">
        <f t="shared" si="32"/>
        <v>0.55974411697509707</v>
      </c>
      <c r="O102" s="176">
        <f>Z102/$AG$102</f>
        <v>0.12068332857667062</v>
      </c>
      <c r="P102" s="176">
        <f t="shared" ref="P102:U102" si="37">AA102/$AG$102</f>
        <v>2.8539976352591023E-4</v>
      </c>
      <c r="Q102" s="176">
        <f t="shared" si="37"/>
        <v>0.50638072328454364</v>
      </c>
      <c r="R102" s="176">
        <f t="shared" si="37"/>
        <v>0</v>
      </c>
      <c r="S102" s="176">
        <f t="shared" si="37"/>
        <v>0.37265054837525996</v>
      </c>
      <c r="T102" s="176">
        <f t="shared" si="37"/>
        <v>0</v>
      </c>
      <c r="U102" s="176">
        <f t="shared" si="37"/>
        <v>0</v>
      </c>
      <c r="V102" s="625">
        <f t="shared" si="34"/>
        <v>1.0000000000000002</v>
      </c>
      <c r="W102" s="299"/>
      <c r="X102" s="170" t="s">
        <v>352</v>
      </c>
      <c r="Y102" s="173">
        <v>1225</v>
      </c>
      <c r="Z102" s="173">
        <v>148</v>
      </c>
      <c r="AA102" s="173">
        <v>0.35</v>
      </c>
      <c r="AB102" s="173">
        <v>621</v>
      </c>
      <c r="AC102" s="173">
        <v>0</v>
      </c>
      <c r="AD102" s="173">
        <v>457</v>
      </c>
      <c r="AE102" s="173">
        <v>0</v>
      </c>
      <c r="AF102" s="173">
        <v>0</v>
      </c>
      <c r="AG102" s="173">
        <f t="shared" si="36"/>
        <v>1226.3499999999999</v>
      </c>
    </row>
    <row r="103" spans="1:33">
      <c r="A103" s="186" t="s">
        <v>353</v>
      </c>
      <c r="B103" s="151">
        <f t="shared" si="23"/>
        <v>1.5992689056431347E-2</v>
      </c>
      <c r="C103" s="151">
        <f t="shared" si="24"/>
        <v>0.76470588235294112</v>
      </c>
      <c r="D103" s="151">
        <f t="shared" si="25"/>
        <v>0</v>
      </c>
      <c r="E103" s="151">
        <f t="shared" si="26"/>
        <v>0</v>
      </c>
      <c r="F103" s="151">
        <f t="shared" si="27"/>
        <v>0</v>
      </c>
      <c r="G103" s="151">
        <f t="shared" si="28"/>
        <v>0.23529411764705882</v>
      </c>
      <c r="H103" s="151">
        <f t="shared" si="29"/>
        <v>0</v>
      </c>
      <c r="I103" s="151">
        <f t="shared" si="30"/>
        <v>0</v>
      </c>
      <c r="J103" s="621">
        <f t="shared" si="31"/>
        <v>1</v>
      </c>
      <c r="K103" s="354"/>
      <c r="L103" s="354"/>
      <c r="M103" s="171" t="s">
        <v>353</v>
      </c>
      <c r="N103" s="177">
        <f t="shared" si="32"/>
        <v>1.5992689056431347E-2</v>
      </c>
      <c r="O103" s="177">
        <f>Z103/$AG$103</f>
        <v>0.76470588235294112</v>
      </c>
      <c r="P103" s="177">
        <f t="shared" ref="P103:U103" si="38">AA103/$AG$103</f>
        <v>0</v>
      </c>
      <c r="Q103" s="177">
        <f t="shared" si="38"/>
        <v>0</v>
      </c>
      <c r="R103" s="177">
        <f t="shared" si="38"/>
        <v>0</v>
      </c>
      <c r="S103" s="177">
        <f t="shared" si="38"/>
        <v>0.23529411764705882</v>
      </c>
      <c r="T103" s="177">
        <f t="shared" si="38"/>
        <v>0</v>
      </c>
      <c r="U103" s="177">
        <f t="shared" si="38"/>
        <v>0</v>
      </c>
      <c r="V103" s="626">
        <f t="shared" si="34"/>
        <v>1</v>
      </c>
      <c r="W103" s="299"/>
      <c r="X103" s="171" t="s">
        <v>353</v>
      </c>
      <c r="Y103" s="174">
        <v>35</v>
      </c>
      <c r="Z103" s="174">
        <v>26</v>
      </c>
      <c r="AA103" s="174">
        <v>0</v>
      </c>
      <c r="AB103" s="174">
        <v>0</v>
      </c>
      <c r="AC103" s="174">
        <v>0</v>
      </c>
      <c r="AD103" s="174">
        <v>8</v>
      </c>
      <c r="AE103" s="174">
        <v>0</v>
      </c>
      <c r="AF103" s="174">
        <v>0</v>
      </c>
      <c r="AG103" s="174">
        <f t="shared" si="36"/>
        <v>34</v>
      </c>
    </row>
    <row r="104" spans="1:33" ht="30">
      <c r="A104" s="184" t="s">
        <v>354</v>
      </c>
      <c r="B104" s="152">
        <f t="shared" si="23"/>
        <v>6.3513822252684482E-2</v>
      </c>
      <c r="C104" s="152">
        <f t="shared" si="24"/>
        <v>0.48097631012203873</v>
      </c>
      <c r="D104" s="152">
        <f t="shared" si="25"/>
        <v>2.1536252692031582E-3</v>
      </c>
      <c r="E104" s="152">
        <f t="shared" si="26"/>
        <v>0</v>
      </c>
      <c r="F104" s="152">
        <f t="shared" si="27"/>
        <v>0</v>
      </c>
      <c r="G104" s="152">
        <f t="shared" si="28"/>
        <v>0.51687006460875806</v>
      </c>
      <c r="H104" s="152">
        <f t="shared" si="29"/>
        <v>0</v>
      </c>
      <c r="I104" s="152">
        <f t="shared" si="30"/>
        <v>0</v>
      </c>
      <c r="J104" s="622">
        <f t="shared" si="31"/>
        <v>1</v>
      </c>
      <c r="K104" s="354"/>
      <c r="L104" s="354"/>
      <c r="M104" s="172" t="s">
        <v>354</v>
      </c>
      <c r="N104" s="178">
        <f t="shared" si="32"/>
        <v>6.3513822252684482E-2</v>
      </c>
      <c r="O104" s="178">
        <f>Z104/$AG$104</f>
        <v>0.48097631012203873</v>
      </c>
      <c r="P104" s="178">
        <f t="shared" ref="P104:U104" si="39">AA104/$AG$104</f>
        <v>2.1536252692031582E-3</v>
      </c>
      <c r="Q104" s="178">
        <f t="shared" si="39"/>
        <v>0</v>
      </c>
      <c r="R104" s="178">
        <f t="shared" si="39"/>
        <v>0</v>
      </c>
      <c r="S104" s="178">
        <f t="shared" si="39"/>
        <v>0.51687006460875806</v>
      </c>
      <c r="T104" s="178">
        <f t="shared" si="39"/>
        <v>0</v>
      </c>
      <c r="U104" s="178">
        <f t="shared" si="39"/>
        <v>0</v>
      </c>
      <c r="V104" s="627">
        <f t="shared" si="34"/>
        <v>1</v>
      </c>
      <c r="W104" s="299"/>
      <c r="X104" s="172" t="s">
        <v>354</v>
      </c>
      <c r="Y104" s="175">
        <v>139</v>
      </c>
      <c r="Z104" s="175">
        <v>67</v>
      </c>
      <c r="AA104" s="175">
        <v>0.3</v>
      </c>
      <c r="AB104" s="175">
        <v>0</v>
      </c>
      <c r="AC104" s="175">
        <v>0</v>
      </c>
      <c r="AD104" s="175">
        <v>72</v>
      </c>
      <c r="AE104" s="175">
        <v>0</v>
      </c>
      <c r="AF104" s="175">
        <v>0</v>
      </c>
      <c r="AG104" s="175">
        <f t="shared" si="36"/>
        <v>139.30000000000001</v>
      </c>
    </row>
    <row r="105" spans="1:33">
      <c r="A105" s="185" t="s">
        <v>355</v>
      </c>
      <c r="B105" s="153">
        <f t="shared" si="23"/>
        <v>4.4779529358007768E-2</v>
      </c>
      <c r="C105" s="153">
        <f t="shared" si="24"/>
        <v>0.41836734693877553</v>
      </c>
      <c r="D105" s="153">
        <f t="shared" si="25"/>
        <v>0</v>
      </c>
      <c r="E105" s="153">
        <f t="shared" si="26"/>
        <v>0</v>
      </c>
      <c r="F105" s="153">
        <f t="shared" si="27"/>
        <v>0</v>
      </c>
      <c r="G105" s="153">
        <f t="shared" si="28"/>
        <v>0.58163265306122447</v>
      </c>
      <c r="H105" s="153">
        <f t="shared" si="29"/>
        <v>0</v>
      </c>
      <c r="I105" s="153">
        <f t="shared" si="30"/>
        <v>0</v>
      </c>
      <c r="J105" s="623">
        <f t="shared" si="31"/>
        <v>1</v>
      </c>
      <c r="K105" s="354"/>
      <c r="L105" s="354"/>
      <c r="M105" s="170" t="s">
        <v>355</v>
      </c>
      <c r="N105" s="360">
        <f t="shared" si="32"/>
        <v>4.4779529358007768E-2</v>
      </c>
      <c r="O105" s="360">
        <f>Z105/$AG$105</f>
        <v>0.41836734693877553</v>
      </c>
      <c r="P105" s="360">
        <f t="shared" ref="P105:U105" si="40">AA105/$AG$105</f>
        <v>0</v>
      </c>
      <c r="Q105" s="360">
        <f t="shared" si="40"/>
        <v>0</v>
      </c>
      <c r="R105" s="360">
        <f t="shared" si="40"/>
        <v>0</v>
      </c>
      <c r="S105" s="360">
        <f t="shared" si="40"/>
        <v>0.58163265306122447</v>
      </c>
      <c r="T105" s="360">
        <f t="shared" si="40"/>
        <v>0</v>
      </c>
      <c r="U105" s="360">
        <f t="shared" si="40"/>
        <v>0</v>
      </c>
      <c r="V105" s="628">
        <f t="shared" si="34"/>
        <v>1</v>
      </c>
      <c r="W105" s="299"/>
      <c r="X105" s="170" t="s">
        <v>355</v>
      </c>
      <c r="Y105" s="459">
        <v>98</v>
      </c>
      <c r="Z105" s="459">
        <v>41</v>
      </c>
      <c r="AA105" s="459">
        <v>0</v>
      </c>
      <c r="AB105" s="459">
        <v>0</v>
      </c>
      <c r="AC105" s="459">
        <v>0</v>
      </c>
      <c r="AD105" s="459">
        <v>57</v>
      </c>
      <c r="AE105" s="459">
        <v>0</v>
      </c>
      <c r="AF105" s="459">
        <v>0</v>
      </c>
      <c r="AG105" s="459">
        <f t="shared" si="36"/>
        <v>98</v>
      </c>
    </row>
    <row r="106" spans="1:33">
      <c r="A106" s="186" t="s">
        <v>356</v>
      </c>
      <c r="B106" s="151">
        <f t="shared" si="23"/>
        <v>2.9243774274617319E-2</v>
      </c>
      <c r="C106" s="151">
        <f t="shared" si="24"/>
        <v>0.28125</v>
      </c>
      <c r="D106" s="151">
        <f t="shared" si="25"/>
        <v>0</v>
      </c>
      <c r="E106" s="151">
        <f t="shared" si="26"/>
        <v>0</v>
      </c>
      <c r="F106" s="151">
        <f t="shared" si="27"/>
        <v>0</v>
      </c>
      <c r="G106" s="151">
        <f t="shared" si="28"/>
        <v>0.71875</v>
      </c>
      <c r="H106" s="151">
        <f t="shared" si="29"/>
        <v>0</v>
      </c>
      <c r="I106" s="151">
        <f t="shared" si="30"/>
        <v>0</v>
      </c>
      <c r="J106" s="621">
        <f t="shared" si="31"/>
        <v>1</v>
      </c>
      <c r="K106" s="354"/>
      <c r="L106" s="354"/>
      <c r="M106" s="171" t="s">
        <v>356</v>
      </c>
      <c r="N106" s="361">
        <f t="shared" si="32"/>
        <v>2.9243774274617319E-2</v>
      </c>
      <c r="O106" s="361">
        <f>Z106/$AG$106</f>
        <v>0.28125</v>
      </c>
      <c r="P106" s="361">
        <f t="shared" ref="P106:U106" si="41">AA106/$AG$106</f>
        <v>0</v>
      </c>
      <c r="Q106" s="361">
        <f t="shared" si="41"/>
        <v>0</v>
      </c>
      <c r="R106" s="361">
        <f t="shared" si="41"/>
        <v>0</v>
      </c>
      <c r="S106" s="361">
        <f t="shared" si="41"/>
        <v>0.71875</v>
      </c>
      <c r="T106" s="361">
        <f t="shared" si="41"/>
        <v>0</v>
      </c>
      <c r="U106" s="361">
        <f t="shared" si="41"/>
        <v>0</v>
      </c>
      <c r="V106" s="629">
        <f t="shared" si="34"/>
        <v>1</v>
      </c>
      <c r="W106" s="299"/>
      <c r="X106" s="171" t="s">
        <v>356</v>
      </c>
      <c r="Y106" s="460">
        <v>64</v>
      </c>
      <c r="Z106" s="460">
        <v>18</v>
      </c>
      <c r="AA106" s="460">
        <v>0</v>
      </c>
      <c r="AB106" s="460">
        <v>0</v>
      </c>
      <c r="AC106" s="460">
        <v>0</v>
      </c>
      <c r="AD106" s="460">
        <v>46</v>
      </c>
      <c r="AE106" s="460">
        <v>0</v>
      </c>
      <c r="AF106" s="460">
        <v>0</v>
      </c>
      <c r="AG106" s="460">
        <f t="shared" si="36"/>
        <v>64</v>
      </c>
    </row>
    <row r="107" spans="1:33">
      <c r="A107" s="184" t="s">
        <v>357</v>
      </c>
      <c r="B107" s="152">
        <f t="shared" si="23"/>
        <v>3.1985378112862691E-3</v>
      </c>
      <c r="C107" s="152">
        <f t="shared" si="24"/>
        <v>6.6666666666666666E-2</v>
      </c>
      <c r="D107" s="152">
        <f t="shared" si="25"/>
        <v>0</v>
      </c>
      <c r="E107" s="152">
        <f t="shared" si="26"/>
        <v>0</v>
      </c>
      <c r="F107" s="152">
        <f t="shared" si="27"/>
        <v>0</v>
      </c>
      <c r="G107" s="152">
        <f t="shared" si="28"/>
        <v>0.93333333333333335</v>
      </c>
      <c r="H107" s="152">
        <f t="shared" si="29"/>
        <v>0</v>
      </c>
      <c r="I107" s="152">
        <f t="shared" si="30"/>
        <v>0</v>
      </c>
      <c r="J107" s="622">
        <f t="shared" si="31"/>
        <v>1</v>
      </c>
      <c r="K107" s="354"/>
      <c r="L107" s="354"/>
      <c r="M107" s="172" t="s">
        <v>357</v>
      </c>
      <c r="N107" s="362">
        <f t="shared" si="32"/>
        <v>3.1985378112862691E-3</v>
      </c>
      <c r="O107" s="362">
        <f>Z107/$AG$107</f>
        <v>6.6666666666666666E-2</v>
      </c>
      <c r="P107" s="362">
        <f t="shared" ref="P107:U107" si="42">AA107/$AG$107</f>
        <v>0</v>
      </c>
      <c r="Q107" s="362">
        <f t="shared" si="42"/>
        <v>0</v>
      </c>
      <c r="R107" s="362">
        <f t="shared" si="42"/>
        <v>0</v>
      </c>
      <c r="S107" s="362">
        <f t="shared" si="42"/>
        <v>0.93333333333333335</v>
      </c>
      <c r="T107" s="362">
        <f t="shared" si="42"/>
        <v>0</v>
      </c>
      <c r="U107" s="362">
        <f t="shared" si="42"/>
        <v>0</v>
      </c>
      <c r="V107" s="630">
        <f t="shared" si="34"/>
        <v>1</v>
      </c>
      <c r="W107" s="299"/>
      <c r="X107" s="172" t="s">
        <v>357</v>
      </c>
      <c r="Y107" s="461">
        <v>7</v>
      </c>
      <c r="Z107" s="462">
        <v>0.5</v>
      </c>
      <c r="AA107" s="461">
        <v>0</v>
      </c>
      <c r="AB107" s="461">
        <v>0</v>
      </c>
      <c r="AC107" s="461">
        <v>0</v>
      </c>
      <c r="AD107" s="461">
        <v>7</v>
      </c>
      <c r="AE107" s="461">
        <v>0</v>
      </c>
      <c r="AF107" s="461">
        <v>0</v>
      </c>
      <c r="AG107" s="461">
        <f t="shared" si="36"/>
        <v>7.5</v>
      </c>
    </row>
    <row r="108" spans="1:33" s="68" customFormat="1">
      <c r="A108" s="185" t="s">
        <v>358</v>
      </c>
      <c r="B108" s="153">
        <f t="shared" si="23"/>
        <v>0.19648160840758511</v>
      </c>
      <c r="C108" s="153">
        <f t="shared" si="24"/>
        <v>0.20503261882572227</v>
      </c>
      <c r="D108" s="153">
        <f t="shared" si="25"/>
        <v>0.49440820130475299</v>
      </c>
      <c r="E108" s="153">
        <f t="shared" si="26"/>
        <v>0</v>
      </c>
      <c r="F108" s="153">
        <f t="shared" si="27"/>
        <v>6.5237651444548003E-2</v>
      </c>
      <c r="G108" s="153">
        <f t="shared" si="28"/>
        <v>0.10018639328984157</v>
      </c>
      <c r="H108" s="153">
        <f t="shared" si="29"/>
        <v>0</v>
      </c>
      <c r="I108" s="153">
        <f t="shared" si="30"/>
        <v>0.13513513513513514</v>
      </c>
      <c r="J108" s="623">
        <f t="shared" si="31"/>
        <v>1</v>
      </c>
      <c r="K108" s="354"/>
      <c r="L108" s="354"/>
      <c r="M108" s="185" t="s">
        <v>358</v>
      </c>
      <c r="N108" s="363">
        <f t="shared" si="32"/>
        <v>0.19648160840758511</v>
      </c>
      <c r="O108" s="363">
        <f>Z108/$AG$108</f>
        <v>0.20503261882572227</v>
      </c>
      <c r="P108" s="363">
        <f t="shared" ref="P108:U108" si="43">AA108/$AG$108</f>
        <v>0.49440820130475299</v>
      </c>
      <c r="Q108" s="363">
        <f t="shared" si="43"/>
        <v>0</v>
      </c>
      <c r="R108" s="363">
        <f t="shared" si="43"/>
        <v>6.5237651444548003E-2</v>
      </c>
      <c r="S108" s="363">
        <f t="shared" si="43"/>
        <v>0.10018639328984157</v>
      </c>
      <c r="T108" s="363">
        <f t="shared" si="43"/>
        <v>0</v>
      </c>
      <c r="U108" s="363">
        <f t="shared" si="43"/>
        <v>0.13513513513513514</v>
      </c>
      <c r="V108" s="630">
        <f t="shared" si="34"/>
        <v>1</v>
      </c>
      <c r="W108" s="299"/>
      <c r="X108" s="185" t="s">
        <v>358</v>
      </c>
      <c r="Y108" s="463">
        <v>430</v>
      </c>
      <c r="Z108" s="463">
        <v>88</v>
      </c>
      <c r="AA108" s="463">
        <v>212.2</v>
      </c>
      <c r="AB108" s="463">
        <v>0</v>
      </c>
      <c r="AC108" s="463">
        <v>28</v>
      </c>
      <c r="AD108" s="463">
        <v>43</v>
      </c>
      <c r="AE108" s="463">
        <v>0</v>
      </c>
      <c r="AF108" s="463">
        <v>58</v>
      </c>
      <c r="AG108" s="461">
        <f t="shared" si="36"/>
        <v>429.2</v>
      </c>
    </row>
    <row r="109" spans="1:33" ht="15.75" thickBot="1">
      <c r="A109" s="364" t="s">
        <v>22</v>
      </c>
      <c r="B109" s="584">
        <f>SUM(B99:B108)</f>
        <v>1</v>
      </c>
      <c r="C109" s="584">
        <f t="shared" ref="C109:I109" si="44">IF(C95=0,O109,C95)</f>
        <v>0.21548466221497148</v>
      </c>
      <c r="D109" s="584">
        <f t="shared" si="44"/>
        <v>9.7438654413425765E-2</v>
      </c>
      <c r="E109" s="584">
        <f t="shared" si="26"/>
        <v>0.28344363080811785</v>
      </c>
      <c r="F109" s="584">
        <f t="shared" si="44"/>
        <v>1.2817998684558209E-2</v>
      </c>
      <c r="G109" s="584">
        <f t="shared" si="28"/>
        <v>0.36426348517519908</v>
      </c>
      <c r="H109" s="584">
        <f t="shared" si="44"/>
        <v>0</v>
      </c>
      <c r="I109" s="584">
        <f t="shared" si="44"/>
        <v>2.655156870372772E-2</v>
      </c>
      <c r="J109" s="624">
        <f>SUM(C109:I109)</f>
        <v>1</v>
      </c>
      <c r="K109" s="354"/>
      <c r="L109" s="354"/>
      <c r="M109" s="192" t="s">
        <v>22</v>
      </c>
      <c r="N109" s="365">
        <f>SUM(N99:N108)</f>
        <v>1</v>
      </c>
      <c r="O109" s="365">
        <f>O99*$N99+O100*$N100+O101*$N101+O102*$N102+O103*$N103+O104*$N104+O105*$N105+O106*$N106+O107*$N107+$N108*O108</f>
        <v>0.21548466221497148</v>
      </c>
      <c r="P109" s="365">
        <f t="shared" ref="P109:U109" si="45">P99*$N99+P100*$N100+P101*$N101+P102*$N102+P103*$N103+P104*$N104+P105*$N105+P106*$N106+P107*$N107+$N108*P108</f>
        <v>9.7438654413425765E-2</v>
      </c>
      <c r="Q109" s="365">
        <f t="shared" si="45"/>
        <v>0.28344363080811785</v>
      </c>
      <c r="R109" s="365">
        <f t="shared" si="45"/>
        <v>1.2817998684558209E-2</v>
      </c>
      <c r="S109" s="365">
        <f t="shared" si="45"/>
        <v>0.36426348517519908</v>
      </c>
      <c r="T109" s="365">
        <f t="shared" si="45"/>
        <v>0</v>
      </c>
      <c r="U109" s="365">
        <f t="shared" si="45"/>
        <v>2.655156870372772E-2</v>
      </c>
      <c r="V109" s="631">
        <f>SUM(O109:U109)</f>
        <v>1</v>
      </c>
      <c r="W109" s="299"/>
      <c r="X109" s="192" t="s">
        <v>22</v>
      </c>
      <c r="Y109" s="464">
        <f>SUM(Y99:Y108)</f>
        <v>2188.5</v>
      </c>
      <c r="Z109" s="464">
        <f t="shared" ref="Z109:AF109" si="46">SUM(Z99:Z108)</f>
        <v>471</v>
      </c>
      <c r="AA109" s="464">
        <f t="shared" si="46"/>
        <v>212.85</v>
      </c>
      <c r="AB109" s="464">
        <f t="shared" si="46"/>
        <v>621</v>
      </c>
      <c r="AC109" s="464">
        <f t="shared" si="46"/>
        <v>28</v>
      </c>
      <c r="AD109" s="464">
        <f t="shared" si="46"/>
        <v>798</v>
      </c>
      <c r="AE109" s="464">
        <f t="shared" si="46"/>
        <v>0</v>
      </c>
      <c r="AF109" s="464">
        <f t="shared" si="46"/>
        <v>58</v>
      </c>
      <c r="AG109" s="465">
        <f>SUM(Z109:AF109)</f>
        <v>2188.85</v>
      </c>
    </row>
    <row r="110" spans="1:33">
      <c r="A110" s="354"/>
      <c r="B110" s="354"/>
      <c r="C110" s="366"/>
      <c r="D110" s="354"/>
      <c r="E110" s="354"/>
      <c r="F110" s="354"/>
      <c r="G110" s="354"/>
      <c r="H110" s="354"/>
      <c r="I110" s="354"/>
      <c r="J110" s="354"/>
      <c r="K110" s="354"/>
      <c r="L110" s="354"/>
      <c r="M110" s="354"/>
      <c r="N110" s="354"/>
      <c r="O110" s="354"/>
      <c r="P110" s="354"/>
      <c r="Q110" s="354"/>
      <c r="R110" s="354"/>
      <c r="S110" s="354"/>
      <c r="T110" s="354"/>
      <c r="U110" s="354"/>
      <c r="V110" s="354"/>
      <c r="W110" s="299"/>
      <c r="X110" s="299"/>
      <c r="Y110" s="299"/>
      <c r="Z110" s="299"/>
      <c r="AA110" s="299"/>
      <c r="AB110" s="299"/>
      <c r="AC110" s="299"/>
      <c r="AD110" s="299"/>
      <c r="AE110" s="299"/>
      <c r="AF110" s="299"/>
      <c r="AG110" s="299"/>
    </row>
    <row r="111" spans="1:33">
      <c r="A111" s="354"/>
      <c r="B111" s="354"/>
      <c r="C111" s="354"/>
      <c r="D111" s="354"/>
      <c r="E111" s="354"/>
      <c r="F111" s="354"/>
      <c r="G111" s="354"/>
      <c r="H111" s="354"/>
      <c r="I111" s="354"/>
      <c r="J111" s="354"/>
      <c r="K111" s="354"/>
      <c r="L111" s="354"/>
      <c r="M111" s="354"/>
      <c r="N111" s="354"/>
      <c r="O111" s="354"/>
      <c r="P111" s="354"/>
      <c r="Q111" s="354"/>
      <c r="R111" s="354"/>
      <c r="S111" s="354"/>
      <c r="T111" s="354"/>
      <c r="U111" s="354"/>
      <c r="V111" s="354"/>
      <c r="W111" s="299"/>
      <c r="X111" s="299" t="s">
        <v>360</v>
      </c>
      <c r="Y111" s="299"/>
      <c r="Z111" s="299"/>
      <c r="AA111" s="299"/>
      <c r="AB111" s="299"/>
      <c r="AC111" s="299"/>
      <c r="AD111" s="299"/>
      <c r="AE111" s="299"/>
      <c r="AF111" s="299"/>
      <c r="AG111" s="299"/>
    </row>
    <row r="112" spans="1:33" ht="19.5" thickBot="1">
      <c r="A112" s="835" t="s">
        <v>177</v>
      </c>
      <c r="B112" s="836"/>
      <c r="C112" s="836"/>
      <c r="D112" s="836"/>
      <c r="E112" s="836"/>
      <c r="F112" s="836"/>
      <c r="G112" s="836"/>
      <c r="H112" s="836"/>
      <c r="I112" s="837"/>
      <c r="J112" s="354"/>
      <c r="K112" s="354"/>
      <c r="L112" s="354"/>
      <c r="M112" s="354"/>
      <c r="N112" s="354"/>
      <c r="O112" s="354"/>
      <c r="P112" s="354"/>
      <c r="Q112" s="354"/>
      <c r="R112" s="354"/>
      <c r="S112" s="354"/>
      <c r="T112" s="354"/>
      <c r="U112" s="354"/>
      <c r="V112" s="354"/>
      <c r="W112" s="299"/>
      <c r="X112" s="299"/>
      <c r="Y112" s="299"/>
      <c r="Z112" s="299"/>
      <c r="AA112" s="299"/>
      <c r="AB112" s="299"/>
      <c r="AC112" s="299"/>
      <c r="AD112" s="299"/>
      <c r="AE112" s="299"/>
      <c r="AF112" s="299"/>
      <c r="AG112" s="299"/>
    </row>
    <row r="113" spans="1:22" ht="43.5" customHeight="1">
      <c r="A113" s="367" t="s">
        <v>21</v>
      </c>
      <c r="B113" s="130" t="s">
        <v>36</v>
      </c>
      <c r="C113" s="130" t="s">
        <v>291</v>
      </c>
      <c r="D113" s="132" t="s">
        <v>97</v>
      </c>
      <c r="E113" s="130" t="s">
        <v>37</v>
      </c>
      <c r="F113" s="130" t="s">
        <v>98</v>
      </c>
      <c r="G113" s="132" t="s">
        <v>293</v>
      </c>
      <c r="H113" s="132" t="s">
        <v>292</v>
      </c>
      <c r="I113" s="607" t="s">
        <v>14</v>
      </c>
      <c r="J113" s="354"/>
      <c r="K113" s="354"/>
      <c r="L113" s="354"/>
      <c r="M113" s="354"/>
      <c r="N113" s="354"/>
      <c r="O113" s="354"/>
      <c r="P113" s="354"/>
      <c r="Q113" s="354"/>
      <c r="R113" s="354"/>
      <c r="S113" s="354"/>
      <c r="T113" s="354"/>
      <c r="U113" s="354"/>
      <c r="V113" s="354"/>
    </row>
    <row r="114" spans="1:22" ht="19.5" customHeight="1">
      <c r="A114" s="170" t="s">
        <v>350</v>
      </c>
      <c r="B114" s="180">
        <f t="shared" ref="B114:B123" si="47">B67</f>
        <v>0</v>
      </c>
      <c r="C114" s="180">
        <f>$B114*D99/$C99</f>
        <v>0</v>
      </c>
      <c r="D114" s="180">
        <f>$B114*E99/$C99</f>
        <v>0</v>
      </c>
      <c r="E114" s="180">
        <f>$B114*F99/$C99</f>
        <v>0</v>
      </c>
      <c r="F114" s="180">
        <f>$B114*G99/$C99</f>
        <v>0</v>
      </c>
      <c r="G114" s="180">
        <f>$B114*I99/$C99</f>
        <v>0</v>
      </c>
      <c r="H114" s="180">
        <f>$B114*I99/$C99</f>
        <v>0</v>
      </c>
      <c r="I114" s="633">
        <f>SUM(B114:H114)</f>
        <v>0</v>
      </c>
      <c r="J114" s="354"/>
      <c r="K114" s="354"/>
      <c r="L114" s="354"/>
      <c r="M114" s="354"/>
      <c r="N114" s="354"/>
      <c r="O114" s="354"/>
      <c r="P114" s="354"/>
      <c r="Q114" s="354"/>
      <c r="R114" s="354"/>
      <c r="S114" s="354"/>
      <c r="T114" s="354"/>
      <c r="U114" s="354"/>
      <c r="V114" s="354"/>
    </row>
    <row r="115" spans="1:22" ht="19.5" customHeight="1">
      <c r="A115" s="171" t="s">
        <v>351</v>
      </c>
      <c r="B115" s="181">
        <f t="shared" si="47"/>
        <v>0</v>
      </c>
      <c r="C115" s="181">
        <f t="shared" ref="C115:H123" si="48">$B115*D100/$C100</f>
        <v>0</v>
      </c>
      <c r="D115" s="181">
        <f t="shared" si="48"/>
        <v>0</v>
      </c>
      <c r="E115" s="181">
        <f t="shared" si="48"/>
        <v>0</v>
      </c>
      <c r="F115" s="181">
        <f t="shared" si="48"/>
        <v>0</v>
      </c>
      <c r="G115" s="181">
        <f t="shared" si="48"/>
        <v>0</v>
      </c>
      <c r="H115" s="181">
        <f t="shared" si="48"/>
        <v>0</v>
      </c>
      <c r="I115" s="634">
        <f t="shared" ref="I115:I123" si="49">SUM(B115:H115)</f>
        <v>0</v>
      </c>
      <c r="J115" s="354"/>
      <c r="K115" s="354"/>
      <c r="L115" s="354"/>
      <c r="M115" s="354"/>
      <c r="N115" s="354"/>
      <c r="O115" s="354"/>
      <c r="P115" s="354"/>
      <c r="Q115" s="354"/>
      <c r="R115" s="354"/>
      <c r="S115" s="354"/>
      <c r="T115" s="354"/>
      <c r="U115" s="354"/>
      <c r="V115" s="354"/>
    </row>
    <row r="116" spans="1:22" ht="19.5" customHeight="1">
      <c r="A116" s="172" t="s">
        <v>39</v>
      </c>
      <c r="B116" s="182">
        <f t="shared" si="47"/>
        <v>0</v>
      </c>
      <c r="C116" s="182">
        <f t="shared" si="48"/>
        <v>0</v>
      </c>
      <c r="D116" s="182">
        <f t="shared" si="48"/>
        <v>0</v>
      </c>
      <c r="E116" s="182">
        <f t="shared" si="48"/>
        <v>0</v>
      </c>
      <c r="F116" s="182">
        <f t="shared" si="48"/>
        <v>0</v>
      </c>
      <c r="G116" s="182">
        <f t="shared" si="48"/>
        <v>0</v>
      </c>
      <c r="H116" s="182">
        <f t="shared" si="48"/>
        <v>0</v>
      </c>
      <c r="I116" s="635">
        <f t="shared" si="49"/>
        <v>0</v>
      </c>
      <c r="J116" s="354"/>
      <c r="K116" s="354"/>
      <c r="L116" s="354"/>
      <c r="M116" s="354"/>
      <c r="N116" s="354"/>
      <c r="O116" s="354"/>
      <c r="P116" s="354"/>
      <c r="Q116" s="354"/>
      <c r="R116" s="354"/>
      <c r="S116" s="354"/>
      <c r="T116" s="354"/>
      <c r="U116" s="354"/>
      <c r="V116" s="354"/>
    </row>
    <row r="117" spans="1:22" ht="40.5" customHeight="1">
      <c r="A117" s="170" t="s">
        <v>352</v>
      </c>
      <c r="B117" s="183">
        <f t="shared" si="47"/>
        <v>0</v>
      </c>
      <c r="C117" s="183">
        <f t="shared" si="48"/>
        <v>0</v>
      </c>
      <c r="D117" s="183">
        <f t="shared" si="48"/>
        <v>0</v>
      </c>
      <c r="E117" s="183">
        <f t="shared" si="48"/>
        <v>0</v>
      </c>
      <c r="F117" s="183">
        <f t="shared" si="48"/>
        <v>0</v>
      </c>
      <c r="G117" s="183">
        <f t="shared" si="48"/>
        <v>0</v>
      </c>
      <c r="H117" s="183">
        <f t="shared" si="48"/>
        <v>0</v>
      </c>
      <c r="I117" s="636">
        <f t="shared" si="49"/>
        <v>0</v>
      </c>
      <c r="J117" s="354"/>
      <c r="K117" s="354"/>
      <c r="L117" s="354"/>
      <c r="M117" s="354"/>
      <c r="N117" s="354"/>
      <c r="O117" s="354"/>
      <c r="P117" s="354"/>
      <c r="Q117" s="354"/>
      <c r="R117" s="354"/>
      <c r="S117" s="354"/>
      <c r="T117" s="354"/>
      <c r="U117" s="354"/>
      <c r="V117" s="354"/>
    </row>
    <row r="118" spans="1:22" ht="19.5" customHeight="1">
      <c r="A118" s="171" t="s">
        <v>353</v>
      </c>
      <c r="B118" s="181">
        <f t="shared" si="47"/>
        <v>0</v>
      </c>
      <c r="C118" s="181">
        <f t="shared" si="48"/>
        <v>0</v>
      </c>
      <c r="D118" s="181">
        <f t="shared" si="48"/>
        <v>0</v>
      </c>
      <c r="E118" s="181">
        <f t="shared" si="48"/>
        <v>0</v>
      </c>
      <c r="F118" s="181">
        <f t="shared" si="48"/>
        <v>0</v>
      </c>
      <c r="G118" s="181">
        <f t="shared" si="48"/>
        <v>0</v>
      </c>
      <c r="H118" s="181">
        <f t="shared" si="48"/>
        <v>0</v>
      </c>
      <c r="I118" s="634">
        <f t="shared" si="49"/>
        <v>0</v>
      </c>
      <c r="J118" s="354"/>
      <c r="K118" s="354"/>
      <c r="L118" s="354"/>
      <c r="M118" s="354"/>
      <c r="N118" s="354"/>
      <c r="O118" s="354"/>
      <c r="P118" s="354"/>
      <c r="Q118" s="354"/>
      <c r="R118" s="354"/>
      <c r="S118" s="354"/>
      <c r="T118" s="354"/>
      <c r="U118" s="354"/>
      <c r="V118" s="354"/>
    </row>
    <row r="119" spans="1:22" ht="39.75" customHeight="1">
      <c r="A119" s="172" t="s">
        <v>354</v>
      </c>
      <c r="B119" s="182">
        <f t="shared" si="47"/>
        <v>0</v>
      </c>
      <c r="C119" s="182">
        <f t="shared" si="48"/>
        <v>0</v>
      </c>
      <c r="D119" s="182">
        <f t="shared" si="48"/>
        <v>0</v>
      </c>
      <c r="E119" s="182">
        <f t="shared" si="48"/>
        <v>0</v>
      </c>
      <c r="F119" s="182">
        <f t="shared" si="48"/>
        <v>0</v>
      </c>
      <c r="G119" s="182">
        <f t="shared" si="48"/>
        <v>0</v>
      </c>
      <c r="H119" s="182">
        <f t="shared" si="48"/>
        <v>0</v>
      </c>
      <c r="I119" s="635">
        <f t="shared" si="49"/>
        <v>0</v>
      </c>
      <c r="J119" s="354"/>
      <c r="K119" s="354"/>
      <c r="L119" s="354"/>
      <c r="M119" s="354"/>
      <c r="N119" s="354"/>
      <c r="O119" s="354"/>
      <c r="P119" s="354"/>
      <c r="Q119" s="354"/>
      <c r="R119" s="354"/>
      <c r="S119" s="354"/>
      <c r="T119" s="354"/>
      <c r="U119" s="354"/>
      <c r="V119" s="354"/>
    </row>
    <row r="120" spans="1:22" ht="19.5" customHeight="1">
      <c r="A120" s="170" t="s">
        <v>355</v>
      </c>
      <c r="B120" s="183">
        <f t="shared" si="47"/>
        <v>0</v>
      </c>
      <c r="C120" s="183">
        <f t="shared" si="48"/>
        <v>0</v>
      </c>
      <c r="D120" s="183">
        <f t="shared" si="48"/>
        <v>0</v>
      </c>
      <c r="E120" s="183">
        <f t="shared" si="48"/>
        <v>0</v>
      </c>
      <c r="F120" s="183">
        <f t="shared" si="48"/>
        <v>0</v>
      </c>
      <c r="G120" s="183">
        <f t="shared" si="48"/>
        <v>0</v>
      </c>
      <c r="H120" s="183">
        <f t="shared" si="48"/>
        <v>0</v>
      </c>
      <c r="I120" s="636">
        <f t="shared" si="49"/>
        <v>0</v>
      </c>
      <c r="J120" s="354"/>
      <c r="K120" s="354"/>
      <c r="L120" s="354"/>
      <c r="M120" s="354"/>
      <c r="N120" s="354"/>
      <c r="O120" s="354"/>
      <c r="P120" s="354"/>
      <c r="Q120" s="354"/>
      <c r="R120" s="354"/>
      <c r="S120" s="354"/>
      <c r="T120" s="354"/>
      <c r="U120" s="354"/>
      <c r="V120" s="354"/>
    </row>
    <row r="121" spans="1:22" ht="19.5" customHeight="1">
      <c r="A121" s="171" t="s">
        <v>356</v>
      </c>
      <c r="B121" s="181">
        <f t="shared" si="47"/>
        <v>0</v>
      </c>
      <c r="C121" s="181">
        <f t="shared" si="48"/>
        <v>0</v>
      </c>
      <c r="D121" s="181">
        <f t="shared" si="48"/>
        <v>0</v>
      </c>
      <c r="E121" s="181">
        <f t="shared" si="48"/>
        <v>0</v>
      </c>
      <c r="F121" s="181">
        <f t="shared" si="48"/>
        <v>0</v>
      </c>
      <c r="G121" s="181">
        <f t="shared" si="48"/>
        <v>0</v>
      </c>
      <c r="H121" s="181">
        <f t="shared" si="48"/>
        <v>0</v>
      </c>
      <c r="I121" s="634">
        <f t="shared" si="49"/>
        <v>0</v>
      </c>
      <c r="J121" s="354"/>
      <c r="K121" s="354"/>
      <c r="L121" s="354"/>
      <c r="M121" s="354"/>
      <c r="N121" s="354"/>
      <c r="O121" s="354"/>
      <c r="P121" s="354"/>
      <c r="Q121" s="354"/>
      <c r="R121" s="354"/>
      <c r="S121" s="354"/>
      <c r="T121" s="354"/>
      <c r="U121" s="354"/>
      <c r="V121" s="354"/>
    </row>
    <row r="122" spans="1:22">
      <c r="A122" s="172" t="s">
        <v>357</v>
      </c>
      <c r="B122" s="182">
        <f t="shared" si="47"/>
        <v>0</v>
      </c>
      <c r="C122" s="182">
        <f t="shared" si="48"/>
        <v>0</v>
      </c>
      <c r="D122" s="182">
        <f t="shared" si="48"/>
        <v>0</v>
      </c>
      <c r="E122" s="182">
        <f t="shared" si="48"/>
        <v>0</v>
      </c>
      <c r="F122" s="182">
        <f t="shared" si="48"/>
        <v>0</v>
      </c>
      <c r="G122" s="182">
        <f t="shared" si="48"/>
        <v>0</v>
      </c>
      <c r="H122" s="182">
        <f t="shared" si="48"/>
        <v>0</v>
      </c>
      <c r="I122" s="635">
        <f t="shared" si="49"/>
        <v>0</v>
      </c>
      <c r="J122" s="354"/>
      <c r="K122" s="354"/>
      <c r="L122" s="354"/>
      <c r="M122" s="354"/>
      <c r="N122" s="354"/>
      <c r="O122" s="354"/>
      <c r="P122" s="354"/>
      <c r="Q122" s="354"/>
      <c r="R122" s="354"/>
      <c r="S122" s="354"/>
      <c r="T122" s="354"/>
      <c r="U122" s="354"/>
      <c r="V122" s="354"/>
    </row>
    <row r="123" spans="1:22" s="68" customFormat="1">
      <c r="A123" s="608" t="s">
        <v>358</v>
      </c>
      <c r="B123" s="183">
        <f t="shared" si="47"/>
        <v>0</v>
      </c>
      <c r="C123" s="183">
        <f t="shared" si="48"/>
        <v>0</v>
      </c>
      <c r="D123" s="183">
        <f t="shared" si="48"/>
        <v>0</v>
      </c>
      <c r="E123" s="183">
        <f t="shared" si="48"/>
        <v>0</v>
      </c>
      <c r="F123" s="183">
        <f t="shared" si="48"/>
        <v>0</v>
      </c>
      <c r="G123" s="183">
        <f t="shared" si="48"/>
        <v>0</v>
      </c>
      <c r="H123" s="183">
        <f t="shared" si="48"/>
        <v>0</v>
      </c>
      <c r="I123" s="636">
        <f t="shared" si="49"/>
        <v>0</v>
      </c>
      <c r="J123" s="354"/>
      <c r="K123" s="354"/>
      <c r="L123" s="354"/>
      <c r="M123" s="354"/>
      <c r="N123" s="354"/>
      <c r="O123" s="354"/>
      <c r="P123" s="354"/>
      <c r="Q123" s="354"/>
      <c r="R123" s="354"/>
      <c r="S123" s="354"/>
      <c r="T123" s="354"/>
      <c r="U123" s="354"/>
      <c r="V123" s="354"/>
    </row>
    <row r="124" spans="1:22" ht="26.25" customHeight="1">
      <c r="A124" s="609" t="s">
        <v>22</v>
      </c>
      <c r="B124" s="181">
        <f>SUM(B114:B123)</f>
        <v>0</v>
      </c>
      <c r="C124" s="181">
        <f t="shared" ref="C124:H124" si="50">SUM(C114:C123)</f>
        <v>0</v>
      </c>
      <c r="D124" s="181">
        <f t="shared" si="50"/>
        <v>0</v>
      </c>
      <c r="E124" s="181">
        <f t="shared" si="50"/>
        <v>0</v>
      </c>
      <c r="F124" s="181">
        <f t="shared" si="50"/>
        <v>0</v>
      </c>
      <c r="G124" s="181">
        <f t="shared" si="50"/>
        <v>0</v>
      </c>
      <c r="H124" s="181">
        <f t="shared" si="50"/>
        <v>0</v>
      </c>
      <c r="I124" s="634">
        <f>SUM(B124:H124)</f>
        <v>0</v>
      </c>
      <c r="J124" s="354"/>
      <c r="K124" s="354"/>
      <c r="L124" s="354"/>
      <c r="M124" s="354"/>
      <c r="N124" s="354"/>
      <c r="O124" s="354"/>
      <c r="P124" s="354"/>
      <c r="Q124" s="354"/>
      <c r="R124" s="354"/>
      <c r="S124" s="354"/>
      <c r="T124" s="354"/>
      <c r="U124" s="354"/>
      <c r="V124" s="354"/>
    </row>
    <row r="125" spans="1:22">
      <c r="A125" s="354"/>
      <c r="B125" s="354"/>
      <c r="C125" s="354"/>
      <c r="D125" s="354"/>
      <c r="E125" s="354"/>
      <c r="F125" s="354"/>
      <c r="G125" s="354"/>
      <c r="H125" s="354"/>
      <c r="I125" s="354"/>
      <c r="J125" s="354"/>
      <c r="K125" s="354"/>
      <c r="L125" s="354"/>
      <c r="M125" s="354"/>
      <c r="N125" s="354"/>
      <c r="O125" s="354"/>
      <c r="P125" s="354"/>
      <c r="Q125" s="354"/>
      <c r="R125" s="354"/>
      <c r="S125" s="354"/>
      <c r="T125" s="354"/>
      <c r="U125" s="354"/>
      <c r="V125" s="354"/>
    </row>
    <row r="126" spans="1:22">
      <c r="A126" s="354"/>
      <c r="B126" s="354"/>
      <c r="C126" s="354"/>
      <c r="D126" s="354"/>
      <c r="E126" s="354"/>
      <c r="F126" s="354"/>
      <c r="G126" s="354"/>
      <c r="H126" s="354"/>
      <c r="I126" s="354"/>
      <c r="J126" s="354"/>
      <c r="K126" s="354"/>
      <c r="L126" s="354"/>
      <c r="M126" s="354"/>
      <c r="N126" s="354"/>
      <c r="O126" s="354"/>
      <c r="P126" s="354"/>
      <c r="Q126" s="354"/>
      <c r="R126" s="354"/>
      <c r="S126" s="354"/>
      <c r="T126" s="354"/>
      <c r="U126" s="354"/>
      <c r="V126" s="354"/>
    </row>
    <row r="127" spans="1:22">
      <c r="A127" s="354"/>
      <c r="B127" s="354"/>
      <c r="C127" s="354"/>
      <c r="D127" s="354"/>
      <c r="E127" s="354"/>
      <c r="F127" s="354"/>
      <c r="G127" s="354"/>
      <c r="H127" s="354"/>
      <c r="I127" s="354"/>
      <c r="J127" s="354"/>
      <c r="K127" s="354"/>
      <c r="L127" s="354"/>
      <c r="M127" s="354"/>
      <c r="N127" s="354"/>
      <c r="O127" s="354"/>
      <c r="P127" s="354"/>
      <c r="Q127" s="354"/>
      <c r="R127" s="354"/>
      <c r="S127" s="354"/>
      <c r="T127" s="354"/>
      <c r="U127" s="354"/>
      <c r="V127" s="354"/>
    </row>
    <row r="128" spans="1:22">
      <c r="A128" s="354"/>
      <c r="B128" s="354"/>
      <c r="C128" s="354"/>
      <c r="D128" s="354"/>
      <c r="E128" s="354"/>
      <c r="F128" s="354"/>
      <c r="G128" s="354"/>
      <c r="H128" s="354"/>
      <c r="I128" s="354"/>
      <c r="J128" s="354"/>
      <c r="K128" s="354"/>
      <c r="L128" s="354"/>
      <c r="M128" s="354"/>
      <c r="N128" s="354"/>
      <c r="O128" s="354"/>
      <c r="P128" s="354"/>
      <c r="Q128" s="354"/>
      <c r="R128" s="354"/>
      <c r="S128" s="354"/>
      <c r="T128" s="354"/>
      <c r="U128" s="354"/>
      <c r="V128" s="354"/>
    </row>
    <row r="129" spans="1:22">
      <c r="A129" s="354"/>
      <c r="B129" s="354"/>
      <c r="C129" s="354"/>
      <c r="D129" s="354"/>
      <c r="E129" s="354"/>
      <c r="F129" s="354"/>
      <c r="G129" s="354"/>
      <c r="H129" s="354"/>
      <c r="I129" s="354"/>
      <c r="J129" s="354"/>
      <c r="K129" s="354"/>
      <c r="L129" s="354"/>
      <c r="M129" s="354"/>
      <c r="N129" s="354"/>
      <c r="O129" s="354"/>
      <c r="P129" s="354"/>
      <c r="Q129" s="354"/>
      <c r="R129" s="354"/>
      <c r="S129" s="354"/>
      <c r="T129" s="354"/>
      <c r="U129" s="354"/>
      <c r="V129" s="354"/>
    </row>
    <row r="130" spans="1:22" ht="15.75">
      <c r="A130" s="18" t="s">
        <v>236</v>
      </c>
      <c r="B130" s="220"/>
      <c r="C130" s="221"/>
      <c r="D130" s="221"/>
      <c r="E130" s="221"/>
      <c r="F130" s="221"/>
      <c r="G130" s="221"/>
      <c r="H130" s="221"/>
      <c r="I130" s="221"/>
      <c r="J130" s="221"/>
      <c r="K130" s="221"/>
      <c r="L130" s="329"/>
      <c r="M130" s="221"/>
      <c r="N130" s="221"/>
      <c r="O130" s="221"/>
      <c r="P130" s="253"/>
      <c r="Q130" s="253"/>
      <c r="R130" s="253"/>
      <c r="S130" s="253"/>
      <c r="T130" s="253"/>
      <c r="U130" s="253"/>
      <c r="V130" s="253"/>
    </row>
    <row r="131" spans="1:22">
      <c r="A131" s="330" t="s">
        <v>247</v>
      </c>
      <c r="B131" s="330"/>
      <c r="C131" s="297"/>
      <c r="D131" s="297"/>
      <c r="E131" s="297"/>
      <c r="F131" s="297"/>
      <c r="G131" s="297"/>
      <c r="H131" s="297"/>
      <c r="I131" s="297"/>
      <c r="J131" s="297"/>
      <c r="K131" s="297"/>
      <c r="L131" s="328"/>
      <c r="M131" s="297"/>
      <c r="N131" s="297"/>
      <c r="O131" s="297"/>
      <c r="P131" s="328"/>
      <c r="Q131" s="328"/>
      <c r="R131" s="328"/>
      <c r="S131" s="328"/>
      <c r="T131" s="328"/>
      <c r="U131" s="328"/>
      <c r="V131" s="328"/>
    </row>
    <row r="132" spans="1:22" s="68" customFormat="1">
      <c r="A132" s="330" t="s">
        <v>248</v>
      </c>
      <c r="B132" s="330"/>
      <c r="C132" s="330"/>
      <c r="D132" s="330"/>
      <c r="E132" s="297"/>
      <c r="F132" s="297"/>
      <c r="G132" s="297"/>
      <c r="H132" s="297"/>
      <c r="I132" s="328"/>
      <c r="J132" s="328"/>
      <c r="K132" s="297"/>
      <c r="L132" s="328"/>
      <c r="M132" s="297"/>
      <c r="N132" s="297"/>
      <c r="O132" s="297"/>
      <c r="P132" s="328"/>
      <c r="Q132" s="328"/>
      <c r="R132" s="328"/>
      <c r="S132" s="328"/>
      <c r="T132" s="328"/>
      <c r="U132" s="328"/>
      <c r="V132" s="328"/>
    </row>
    <row r="133" spans="1:22" s="68" customFormat="1">
      <c r="A133" s="297"/>
      <c r="B133" s="297"/>
      <c r="C133" s="297"/>
      <c r="D133" s="297"/>
      <c r="E133" s="297"/>
      <c r="F133" s="297"/>
      <c r="G133" s="297"/>
      <c r="H133" s="297"/>
      <c r="I133" s="328"/>
      <c r="J133" s="328"/>
      <c r="K133" s="297"/>
      <c r="L133" s="328"/>
      <c r="M133" s="297"/>
      <c r="N133" s="297"/>
      <c r="O133" s="297"/>
      <c r="P133" s="328"/>
      <c r="Q133" s="328"/>
      <c r="R133" s="328"/>
      <c r="S133" s="328"/>
      <c r="T133" s="328"/>
      <c r="U133" s="328"/>
      <c r="V133" s="328"/>
    </row>
    <row r="134" spans="1:22" ht="18.75">
      <c r="A134" s="826" t="s">
        <v>235</v>
      </c>
      <c r="B134" s="827"/>
      <c r="C134" s="827"/>
      <c r="D134" s="827"/>
      <c r="E134" s="827"/>
      <c r="F134" s="827"/>
      <c r="G134" s="827"/>
      <c r="H134" s="828"/>
      <c r="I134" s="328"/>
      <c r="J134" s="328"/>
      <c r="K134" s="328"/>
      <c r="L134" s="328"/>
      <c r="M134" s="297"/>
      <c r="N134" s="297"/>
      <c r="O134" s="297"/>
      <c r="P134" s="328"/>
      <c r="Q134" s="328"/>
      <c r="R134" s="328"/>
      <c r="S134" s="328"/>
      <c r="T134" s="328"/>
      <c r="U134" s="328"/>
      <c r="V134" s="328"/>
    </row>
    <row r="135" spans="1:22" ht="33" customHeight="1">
      <c r="A135" s="787" t="s">
        <v>6</v>
      </c>
      <c r="B135" s="787" t="s">
        <v>7</v>
      </c>
      <c r="C135" s="787" t="s">
        <v>211</v>
      </c>
      <c r="D135" s="787" t="s">
        <v>115</v>
      </c>
      <c r="E135" s="789" t="s">
        <v>187</v>
      </c>
      <c r="F135" s="787" t="s">
        <v>93</v>
      </c>
      <c r="G135" s="787" t="s">
        <v>89</v>
      </c>
      <c r="H135" s="789" t="s">
        <v>212</v>
      </c>
      <c r="I135" s="328"/>
      <c r="J135" s="328"/>
      <c r="K135" s="328"/>
      <c r="L135" s="328"/>
      <c r="M135" s="791" t="s">
        <v>294</v>
      </c>
      <c r="N135" s="791"/>
      <c r="O135" s="791"/>
      <c r="P135" s="791"/>
      <c r="Q135" s="328"/>
      <c r="R135" s="328"/>
      <c r="S135" s="328"/>
      <c r="T135" s="328"/>
      <c r="U135" s="328"/>
      <c r="V135" s="328"/>
    </row>
    <row r="136" spans="1:22" ht="15.75" thickBot="1">
      <c r="A136" s="790"/>
      <c r="B136" s="788"/>
      <c r="C136" s="788"/>
      <c r="D136" s="788"/>
      <c r="E136" s="792"/>
      <c r="F136" s="788"/>
      <c r="G136" s="788"/>
      <c r="H136" s="788"/>
      <c r="I136" s="328"/>
      <c r="J136" s="328"/>
      <c r="K136" s="328"/>
      <c r="L136" s="328"/>
      <c r="M136" s="368"/>
      <c r="N136" s="369" t="s">
        <v>295</v>
      </c>
      <c r="O136" s="369" t="s">
        <v>296</v>
      </c>
      <c r="P136" s="369" t="s">
        <v>297</v>
      </c>
      <c r="Q136" s="328"/>
      <c r="R136" s="328"/>
      <c r="S136" s="328"/>
      <c r="T136" s="328"/>
      <c r="U136" s="328"/>
      <c r="V136" s="328"/>
    </row>
    <row r="137" spans="1:22" ht="15.75" thickBot="1">
      <c r="A137" s="817" t="s">
        <v>117</v>
      </c>
      <c r="B137" s="370" t="s">
        <v>213</v>
      </c>
      <c r="C137" s="371" t="s">
        <v>68</v>
      </c>
      <c r="D137" s="372">
        <f>Resid_Elec_D11*mun_population_E22/Tun_pop</f>
        <v>1364.989088803191</v>
      </c>
      <c r="E137" s="773">
        <f>D137</f>
        <v>1364.989088803191</v>
      </c>
      <c r="F137" s="373" t="s">
        <v>21</v>
      </c>
      <c r="G137" s="741">
        <f>'2-Données générales'!C55</f>
        <v>2013</v>
      </c>
      <c r="H137" s="374" t="s">
        <v>60</v>
      </c>
      <c r="I137" s="328"/>
      <c r="J137" s="328"/>
      <c r="K137" s="328"/>
      <c r="L137" s="328"/>
      <c r="M137" s="733">
        <f>E137/'2-Données générales'!$C$56</f>
        <v>0.39496212060277514</v>
      </c>
      <c r="N137" s="733">
        <f>18221/55910</f>
        <v>0.32589876587372563</v>
      </c>
      <c r="O137" s="733">
        <f>177785/414102</f>
        <v>0.42932659103312709</v>
      </c>
      <c r="P137" s="815">
        <f>186523/484901</f>
        <v>0.38466202379454778</v>
      </c>
      <c r="Q137" s="328"/>
      <c r="R137" s="328"/>
      <c r="S137" s="328"/>
      <c r="T137" s="328"/>
      <c r="U137" s="328"/>
      <c r="V137" s="328"/>
    </row>
    <row r="138" spans="1:22" ht="15.75" thickBot="1">
      <c r="A138" s="780"/>
      <c r="B138" s="375" t="s">
        <v>214</v>
      </c>
      <c r="C138" s="371" t="s">
        <v>68</v>
      </c>
      <c r="D138" s="83"/>
      <c r="E138" s="774"/>
      <c r="F138" s="376" t="s">
        <v>21</v>
      </c>
      <c r="G138" s="742"/>
      <c r="H138" s="377" t="s">
        <v>215</v>
      </c>
      <c r="I138" s="328"/>
      <c r="J138" s="328"/>
      <c r="K138" s="328"/>
      <c r="L138" s="328"/>
      <c r="M138" s="734"/>
      <c r="N138" s="734"/>
      <c r="O138" s="734"/>
      <c r="P138" s="816"/>
      <c r="Q138" s="328"/>
      <c r="R138" s="328"/>
      <c r="S138" s="328"/>
      <c r="T138" s="328"/>
      <c r="U138" s="328"/>
      <c r="V138" s="328"/>
    </row>
    <row r="139" spans="1:22" ht="16.5" thickBot="1">
      <c r="A139" s="780"/>
      <c r="B139" s="378" t="s">
        <v>216</v>
      </c>
      <c r="C139" s="371" t="s">
        <v>68</v>
      </c>
      <c r="D139" s="379">
        <f>(Tert_Elec_F11*mun_population_E22/Tun_pop) -'7-IRE'!C9 - '7-IRE'!C12</f>
        <v>1601.2341438318426</v>
      </c>
      <c r="E139" s="773">
        <f>D139</f>
        <v>1601.2341438318426</v>
      </c>
      <c r="F139" s="380" t="s">
        <v>21</v>
      </c>
      <c r="G139" s="743">
        <f>'2-Données générales'!C55</f>
        <v>2013</v>
      </c>
      <c r="H139" s="381" t="s">
        <v>60</v>
      </c>
      <c r="I139" s="328"/>
      <c r="J139" s="328"/>
      <c r="K139" s="328"/>
      <c r="L139" s="328"/>
      <c r="M139" s="737">
        <f>E139/'2-Données générales'!$C$56</f>
        <v>0.46332006476615817</v>
      </c>
      <c r="N139" s="758">
        <f>9169/55910</f>
        <v>0.16399570738687175</v>
      </c>
      <c r="O139" s="758">
        <f>216477/414102</f>
        <v>0.52276250778793631</v>
      </c>
      <c r="P139" s="821">
        <f>67261/484901</f>
        <v>0.13871078838773276</v>
      </c>
      <c r="Q139" s="328"/>
      <c r="R139" s="328"/>
      <c r="S139" s="328"/>
      <c r="T139" s="328"/>
      <c r="U139" s="328"/>
      <c r="V139" s="328"/>
    </row>
    <row r="140" spans="1:22" ht="15.75" thickBot="1">
      <c r="A140" s="780"/>
      <c r="B140" s="382" t="s">
        <v>217</v>
      </c>
      <c r="C140" s="371" t="s">
        <v>68</v>
      </c>
      <c r="D140" s="83"/>
      <c r="E140" s="774"/>
      <c r="F140" s="383" t="s">
        <v>21</v>
      </c>
      <c r="G140" s="744"/>
      <c r="H140" s="384" t="s">
        <v>215</v>
      </c>
      <c r="I140" s="328"/>
      <c r="J140" s="328"/>
      <c r="K140" s="328"/>
      <c r="L140" s="328"/>
      <c r="M140" s="737"/>
      <c r="N140" s="758"/>
      <c r="O140" s="758"/>
      <c r="P140" s="821"/>
      <c r="Q140" s="328"/>
      <c r="R140" s="328"/>
      <c r="S140" s="328"/>
      <c r="T140" s="328"/>
      <c r="U140" s="328"/>
      <c r="V140" s="328"/>
    </row>
    <row r="141" spans="1:22" ht="15.75" thickBot="1">
      <c r="A141" s="780"/>
      <c r="B141" s="385" t="s">
        <v>218</v>
      </c>
      <c r="C141" s="371" t="s">
        <v>68</v>
      </c>
      <c r="D141" s="386">
        <f>B124</f>
        <v>0</v>
      </c>
      <c r="E141" s="773">
        <v>6345</v>
      </c>
      <c r="F141" s="387" t="s">
        <v>21</v>
      </c>
      <c r="G141" s="745">
        <f>'2-Données générales'!C55</f>
        <v>2013</v>
      </c>
      <c r="H141" s="388"/>
      <c r="I141" s="328"/>
      <c r="J141" s="328"/>
      <c r="K141" s="328"/>
      <c r="L141" s="328"/>
      <c r="M141" s="736">
        <f>E141/'2-Données générales'!$C$56</f>
        <v>1.8359375</v>
      </c>
      <c r="N141" s="735">
        <f>13922/55910</f>
        <v>0.24900733321409407</v>
      </c>
      <c r="O141" s="822">
        <f>53757/414102</f>
        <v>0.12981584247359346</v>
      </c>
      <c r="P141" s="822">
        <f>34051/484901</f>
        <v>7.0222581516639473E-2</v>
      </c>
      <c r="Q141" s="328"/>
      <c r="R141" s="328"/>
      <c r="S141" s="328"/>
      <c r="T141" s="328"/>
      <c r="U141" s="328"/>
      <c r="V141" s="328"/>
    </row>
    <row r="142" spans="1:22" ht="15.75" thickBot="1">
      <c r="A142" s="780"/>
      <c r="B142" s="389" t="s">
        <v>219</v>
      </c>
      <c r="C142" s="371" t="s">
        <v>68</v>
      </c>
      <c r="D142" s="83"/>
      <c r="E142" s="774"/>
      <c r="F142" s="390" t="s">
        <v>21</v>
      </c>
      <c r="G142" s="746"/>
      <c r="H142" s="391" t="s">
        <v>215</v>
      </c>
      <c r="I142" s="328"/>
      <c r="J142" s="328"/>
      <c r="K142" s="328"/>
      <c r="L142" s="328"/>
      <c r="M142" s="736"/>
      <c r="N142" s="735"/>
      <c r="O142" s="822"/>
      <c r="P142" s="822"/>
      <c r="Q142" s="328"/>
      <c r="R142" s="328"/>
      <c r="S142" s="328"/>
      <c r="T142" s="328"/>
      <c r="U142" s="328"/>
      <c r="V142" s="328"/>
    </row>
    <row r="143" spans="1:22" ht="15.75" thickBot="1">
      <c r="A143" s="779" t="s">
        <v>220</v>
      </c>
      <c r="B143" s="370" t="s">
        <v>221</v>
      </c>
      <c r="C143" s="371" t="s">
        <v>68</v>
      </c>
      <c r="D143" s="392">
        <f>(Resid_LPG_D12/Tunisia_population_E24*mun_population_E22)/LPG_conv_C50</f>
        <v>132820.84764824653</v>
      </c>
      <c r="E143" s="738">
        <f>D143</f>
        <v>132820.84764824653</v>
      </c>
      <c r="F143" s="373" t="s">
        <v>29</v>
      </c>
      <c r="G143" s="743">
        <f>'2-Données générales'!C55</f>
        <v>2013</v>
      </c>
      <c r="H143" s="374" t="s">
        <v>60</v>
      </c>
      <c r="I143" s="328"/>
      <c r="J143" s="328"/>
      <c r="K143" s="328"/>
      <c r="L143" s="328"/>
      <c r="M143" s="737">
        <f>E143*'2-Données générales'!C67/'2-Données générales'!$C$56</f>
        <v>0.49425285818717934</v>
      </c>
      <c r="N143" s="733">
        <v>73.448191362416949</v>
      </c>
      <c r="O143" s="733">
        <v>74.102367746982011</v>
      </c>
      <c r="P143" s="815">
        <v>80.59581011604989</v>
      </c>
      <c r="Q143" s="328"/>
      <c r="R143" s="328"/>
      <c r="S143" s="328"/>
      <c r="T143" s="328"/>
      <c r="U143" s="328"/>
      <c r="V143" s="328"/>
    </row>
    <row r="144" spans="1:22" ht="39" customHeight="1" thickBot="1">
      <c r="A144" s="779"/>
      <c r="B144" s="393" t="s">
        <v>299</v>
      </c>
      <c r="C144" s="371" t="s">
        <v>68</v>
      </c>
      <c r="D144" s="394">
        <f>(E137*D29/C29) /LPG_conv_C50</f>
        <v>187535.32216179158</v>
      </c>
      <c r="E144" s="739"/>
      <c r="F144" s="376" t="s">
        <v>29</v>
      </c>
      <c r="G144" s="747"/>
      <c r="H144" s="377" t="s">
        <v>215</v>
      </c>
      <c r="I144" s="328"/>
      <c r="J144" s="328"/>
      <c r="K144" s="328"/>
      <c r="L144" s="328"/>
      <c r="M144" s="737"/>
      <c r="N144" s="734"/>
      <c r="O144" s="734"/>
      <c r="P144" s="816"/>
      <c r="Q144" s="328"/>
      <c r="R144" s="328"/>
      <c r="S144" s="328"/>
      <c r="T144" s="328"/>
      <c r="U144" s="328"/>
      <c r="V144" s="328"/>
    </row>
    <row r="145" spans="1:22" ht="21.75" customHeight="1" thickBot="1">
      <c r="A145" s="779"/>
      <c r="B145" s="395" t="s">
        <v>222</v>
      </c>
      <c r="C145" s="371" t="s">
        <v>68</v>
      </c>
      <c r="D145" s="83"/>
      <c r="E145" s="740"/>
      <c r="F145" s="380" t="s">
        <v>29</v>
      </c>
      <c r="G145" s="744"/>
      <c r="H145" s="396" t="s">
        <v>215</v>
      </c>
      <c r="I145" s="328"/>
      <c r="J145" s="328"/>
      <c r="K145" s="328"/>
      <c r="L145" s="328"/>
      <c r="M145" s="737"/>
      <c r="N145" s="734"/>
      <c r="O145" s="734"/>
      <c r="P145" s="816"/>
      <c r="Q145" s="328"/>
      <c r="R145" s="328"/>
      <c r="S145" s="328"/>
      <c r="T145" s="328"/>
      <c r="U145" s="328"/>
      <c r="V145" s="328"/>
    </row>
    <row r="146" spans="1:22" ht="15.75" thickBot="1">
      <c r="A146" s="779"/>
      <c r="B146" s="378" t="s">
        <v>223</v>
      </c>
      <c r="C146" s="371" t="s">
        <v>68</v>
      </c>
      <c r="D146" s="379">
        <f>(('2-Données générales'!D33*mun_population_E22/Tun_pop) - '7-IRE'!F9)   /LPG_conv_C50</f>
        <v>14369.216011082446</v>
      </c>
      <c r="E146" s="738">
        <f>D146</f>
        <v>14369.216011082446</v>
      </c>
      <c r="F146" s="383" t="s">
        <v>29</v>
      </c>
      <c r="G146" s="748">
        <f>'2-Données générales'!C55</f>
        <v>2013</v>
      </c>
      <c r="H146" s="381" t="s">
        <v>60</v>
      </c>
      <c r="I146" s="328"/>
      <c r="J146" s="328"/>
      <c r="K146" s="328"/>
      <c r="L146" s="328"/>
      <c r="M146" s="737">
        <f>E146*'2-Données générales'!C67/'2-Données générales'!$C$56</f>
        <v>5.3470717956830012E-2</v>
      </c>
      <c r="N146" s="758">
        <v>0.47743868401916517</v>
      </c>
      <c r="O146" s="758">
        <v>0.43850770146447238</v>
      </c>
      <c r="P146" s="821">
        <v>0.48588069728502598</v>
      </c>
      <c r="Q146" s="328"/>
      <c r="R146" s="328"/>
      <c r="S146" s="328"/>
      <c r="T146" s="328"/>
      <c r="U146" s="328"/>
      <c r="V146" s="328"/>
    </row>
    <row r="147" spans="1:22" ht="30.75" thickBot="1">
      <c r="A147" s="779"/>
      <c r="B147" s="397" t="s">
        <v>300</v>
      </c>
      <c r="C147" s="371" t="s">
        <v>68</v>
      </c>
      <c r="D147" s="398">
        <f>((B39*C50/B50)+(B40*C51/B51) +(B41*C52/B52) + (B42*C53/B53)+ (B43*C54/B54) ) /LPG_conv_C50</f>
        <v>0</v>
      </c>
      <c r="E147" s="739"/>
      <c r="F147" s="387" t="s">
        <v>29</v>
      </c>
      <c r="G147" s="749"/>
      <c r="H147" s="384"/>
      <c r="I147" s="328"/>
      <c r="J147" s="328"/>
      <c r="K147" s="328"/>
      <c r="L147" s="328"/>
      <c r="M147" s="737"/>
      <c r="N147" s="758"/>
      <c r="O147" s="758"/>
      <c r="P147" s="821"/>
      <c r="Q147" s="328"/>
      <c r="R147" s="328"/>
      <c r="S147" s="328"/>
      <c r="T147" s="328"/>
      <c r="U147" s="328"/>
      <c r="V147" s="328"/>
    </row>
    <row r="148" spans="1:22" ht="15.75" thickBot="1">
      <c r="A148" s="779"/>
      <c r="B148" s="382" t="s">
        <v>301</v>
      </c>
      <c r="C148" s="371" t="s">
        <v>68</v>
      </c>
      <c r="D148" s="83"/>
      <c r="E148" s="740"/>
      <c r="F148" s="390" t="s">
        <v>29</v>
      </c>
      <c r="G148" s="750"/>
      <c r="H148" s="384" t="s">
        <v>215</v>
      </c>
      <c r="I148" s="328"/>
      <c r="J148" s="328"/>
      <c r="K148" s="328"/>
      <c r="L148" s="328"/>
      <c r="M148" s="737"/>
      <c r="N148" s="758"/>
      <c r="O148" s="758"/>
      <c r="P148" s="821"/>
      <c r="Q148" s="328"/>
      <c r="R148" s="328"/>
      <c r="S148" s="328"/>
      <c r="T148" s="328"/>
      <c r="U148" s="328"/>
      <c r="V148" s="328"/>
    </row>
    <row r="149" spans="1:22" ht="19.5" customHeight="1" thickBot="1">
      <c r="A149" s="779"/>
      <c r="B149" s="385" t="s">
        <v>302</v>
      </c>
      <c r="C149" s="371" t="s">
        <v>68</v>
      </c>
      <c r="D149" s="386">
        <f>E124/LPG_conv_C50</f>
        <v>0</v>
      </c>
      <c r="E149" s="738">
        <v>2478</v>
      </c>
      <c r="F149" s="373" t="s">
        <v>29</v>
      </c>
      <c r="G149" s="745">
        <f>'2-Données générales'!C55</f>
        <v>2013</v>
      </c>
      <c r="H149" s="388" t="s">
        <v>60</v>
      </c>
      <c r="I149" s="328"/>
      <c r="J149" s="328"/>
      <c r="K149" s="328"/>
      <c r="L149" s="328"/>
      <c r="M149" s="737">
        <f>E149*'2-Données générales'!C67/'2-Données générales'!$C$56</f>
        <v>9.2211321059431535E-3</v>
      </c>
      <c r="N149" s="735">
        <v>0</v>
      </c>
      <c r="O149" s="735">
        <v>1.1530524690304962</v>
      </c>
      <c r="P149" s="735">
        <v>33.464823353168441</v>
      </c>
      <c r="Q149" s="328"/>
      <c r="R149" s="328"/>
      <c r="S149" s="328"/>
      <c r="T149" s="328"/>
      <c r="U149" s="328"/>
      <c r="V149" s="328"/>
    </row>
    <row r="150" spans="1:22" ht="19.5" customHeight="1" thickBot="1">
      <c r="A150" s="779"/>
      <c r="B150" s="399" t="s">
        <v>224</v>
      </c>
      <c r="C150" s="371" t="s">
        <v>68</v>
      </c>
      <c r="D150" s="400">
        <f>((B67*F99/C99)+(B68*F100/C100)+(B69*F101/C101)+(B70*F102/C102)+(B71*F103/C103)+(B72*F104/C104)+(B73*F105/C105)+(B74*F106/C106)+(B75*F107/C107)+(B76*F108/C108))/LPG_conv_C50</f>
        <v>0</v>
      </c>
      <c r="E150" s="739"/>
      <c r="F150" s="376" t="s">
        <v>29</v>
      </c>
      <c r="G150" s="751"/>
      <c r="H150" s="391"/>
      <c r="I150" s="328"/>
      <c r="J150" s="328"/>
      <c r="K150" s="328"/>
      <c r="L150" s="328"/>
      <c r="M150" s="737"/>
      <c r="N150" s="735"/>
      <c r="O150" s="735"/>
      <c r="P150" s="735"/>
      <c r="Q150" s="328"/>
      <c r="R150" s="328"/>
      <c r="S150" s="328"/>
      <c r="T150" s="328"/>
      <c r="U150" s="328"/>
      <c r="V150" s="328"/>
    </row>
    <row r="151" spans="1:22" ht="19.5" customHeight="1" thickBot="1">
      <c r="A151" s="779"/>
      <c r="B151" s="389" t="s">
        <v>303</v>
      </c>
      <c r="C151" s="371" t="s">
        <v>68</v>
      </c>
      <c r="D151" s="83">
        <v>2478</v>
      </c>
      <c r="E151" s="740"/>
      <c r="F151" s="380" t="s">
        <v>29</v>
      </c>
      <c r="G151" s="752"/>
      <c r="H151" s="391" t="s">
        <v>215</v>
      </c>
      <c r="I151" s="328"/>
      <c r="J151" s="328"/>
      <c r="K151" s="328"/>
      <c r="L151" s="328"/>
      <c r="M151" s="737"/>
      <c r="N151" s="735"/>
      <c r="O151" s="735"/>
      <c r="P151" s="735"/>
      <c r="Q151" s="328"/>
      <c r="R151" s="328"/>
      <c r="S151" s="328"/>
      <c r="T151" s="328"/>
      <c r="U151" s="328"/>
      <c r="V151" s="328"/>
    </row>
    <row r="152" spans="1:22" ht="30.75" customHeight="1" thickBot="1">
      <c r="A152" s="783" t="s">
        <v>409</v>
      </c>
      <c r="B152" s="370" t="s">
        <v>410</v>
      </c>
      <c r="C152" s="371" t="s">
        <v>68</v>
      </c>
      <c r="D152" s="372">
        <v>0</v>
      </c>
      <c r="E152" s="738">
        <v>2000</v>
      </c>
      <c r="F152" s="383" t="s">
        <v>29</v>
      </c>
      <c r="G152" s="753">
        <f>'2-Données générales'!C55</f>
        <v>2013</v>
      </c>
      <c r="H152" s="374" t="s">
        <v>60</v>
      </c>
      <c r="I152" s="328"/>
      <c r="J152" s="328"/>
      <c r="K152" s="328"/>
      <c r="L152" s="328"/>
      <c r="M152" s="737">
        <f>E152*'2-Données générales'!C70/'2-Données générales'!$C$56</f>
        <v>6.5878014642549538E-3</v>
      </c>
      <c r="N152" s="733">
        <v>0</v>
      </c>
      <c r="O152" s="813">
        <v>137.631712503453</v>
      </c>
      <c r="P152" s="733">
        <v>21.044332653957746</v>
      </c>
      <c r="Q152" s="328"/>
      <c r="R152" s="328"/>
      <c r="S152" s="328"/>
      <c r="T152" s="328"/>
      <c r="U152" s="328"/>
      <c r="V152" s="328"/>
    </row>
    <row r="153" spans="1:22" ht="30.75" thickBot="1">
      <c r="A153" s="783"/>
      <c r="B153" s="401" t="s">
        <v>411</v>
      </c>
      <c r="C153" s="371" t="s">
        <v>68</v>
      </c>
      <c r="D153" s="394">
        <f>C124/'2-Données générales'!C70</f>
        <v>0</v>
      </c>
      <c r="E153" s="739"/>
      <c r="F153" s="387" t="s">
        <v>29</v>
      </c>
      <c r="G153" s="747"/>
      <c r="H153" s="377"/>
      <c r="I153" s="328"/>
      <c r="J153" s="328"/>
      <c r="K153" s="328"/>
      <c r="L153" s="328"/>
      <c r="M153" s="737"/>
      <c r="N153" s="733"/>
      <c r="O153" s="813"/>
      <c r="P153" s="733"/>
      <c r="Q153" s="328"/>
      <c r="R153" s="328"/>
      <c r="S153" s="328"/>
      <c r="T153" s="328"/>
      <c r="U153" s="328"/>
      <c r="V153" s="328"/>
    </row>
    <row r="154" spans="1:22" ht="16.5" thickBot="1">
      <c r="A154" s="783"/>
      <c r="B154" s="568" t="s">
        <v>412</v>
      </c>
      <c r="C154" s="371" t="s">
        <v>68</v>
      </c>
      <c r="D154" s="83">
        <v>2000</v>
      </c>
      <c r="E154" s="740"/>
      <c r="F154" s="390" t="s">
        <v>29</v>
      </c>
      <c r="G154" s="754"/>
      <c r="H154" s="377" t="s">
        <v>215</v>
      </c>
      <c r="I154" s="328"/>
      <c r="J154" s="328"/>
      <c r="K154" s="328"/>
      <c r="L154" s="328"/>
      <c r="M154" s="737"/>
      <c r="N154" s="733"/>
      <c r="O154" s="813"/>
      <c r="P154" s="733"/>
      <c r="Q154" s="328"/>
      <c r="R154" s="328"/>
      <c r="S154" s="328"/>
      <c r="T154" s="328"/>
      <c r="U154" s="328"/>
      <c r="V154" s="328"/>
    </row>
    <row r="155" spans="1:22" ht="15.75" thickBot="1">
      <c r="A155" s="780" t="s">
        <v>304</v>
      </c>
      <c r="B155" s="378" t="s">
        <v>225</v>
      </c>
      <c r="C155" s="371" t="s">
        <v>68</v>
      </c>
      <c r="D155" s="379">
        <v>0</v>
      </c>
      <c r="E155" s="738">
        <v>36978</v>
      </c>
      <c r="F155" s="373" t="s">
        <v>29</v>
      </c>
      <c r="G155" s="755">
        <f>'2-Données générales'!C55</f>
        <v>2013</v>
      </c>
      <c r="H155" s="381" t="s">
        <v>60</v>
      </c>
      <c r="I155" s="328"/>
      <c r="J155" s="328"/>
      <c r="K155" s="328"/>
      <c r="L155" s="328"/>
      <c r="M155" s="737">
        <f>E155*'2-Données générales'!C71/'2-Données générales'!$C$56</f>
        <v>0.10057673611111113</v>
      </c>
      <c r="N155" s="812">
        <v>0</v>
      </c>
      <c r="O155" s="812">
        <v>0</v>
      </c>
      <c r="P155" s="812">
        <v>0</v>
      </c>
      <c r="Q155" s="328"/>
      <c r="R155" s="328"/>
      <c r="S155" s="328"/>
      <c r="T155" s="328"/>
      <c r="U155" s="328"/>
      <c r="V155" s="328"/>
    </row>
    <row r="156" spans="1:22" ht="15.75" thickBot="1">
      <c r="A156" s="781"/>
      <c r="B156" s="403" t="s">
        <v>226</v>
      </c>
      <c r="C156" s="371" t="s">
        <v>68</v>
      </c>
      <c r="D156" s="398">
        <f>D124/'2-Données générales'!C71</f>
        <v>0</v>
      </c>
      <c r="E156" s="739"/>
      <c r="F156" s="376" t="s">
        <v>29</v>
      </c>
      <c r="G156" s="749"/>
      <c r="H156" s="384"/>
      <c r="I156" s="328"/>
      <c r="J156" s="328"/>
      <c r="K156" s="328"/>
      <c r="L156" s="328"/>
      <c r="M156" s="737"/>
      <c r="N156" s="812"/>
      <c r="O156" s="812"/>
      <c r="P156" s="812"/>
      <c r="Q156" s="328"/>
      <c r="R156" s="328"/>
      <c r="S156" s="328"/>
      <c r="T156" s="328"/>
      <c r="U156" s="328"/>
      <c r="V156" s="328"/>
    </row>
    <row r="157" spans="1:22" ht="15.75" thickBot="1">
      <c r="A157" s="781"/>
      <c r="B157" s="404" t="s">
        <v>227</v>
      </c>
      <c r="C157" s="371" t="s">
        <v>68</v>
      </c>
      <c r="D157" s="44"/>
      <c r="E157" s="740"/>
      <c r="F157" s="380" t="s">
        <v>29</v>
      </c>
      <c r="G157" s="750"/>
      <c r="H157" s="406" t="s">
        <v>215</v>
      </c>
      <c r="I157" s="328"/>
      <c r="J157" s="328"/>
      <c r="K157" s="328"/>
      <c r="L157" s="328"/>
      <c r="M157" s="737"/>
      <c r="N157" s="812"/>
      <c r="O157" s="812"/>
      <c r="P157" s="812"/>
      <c r="Q157" s="328"/>
      <c r="R157" s="328"/>
      <c r="S157" s="328"/>
      <c r="T157" s="328"/>
      <c r="U157" s="328"/>
      <c r="V157" s="328"/>
    </row>
    <row r="158" spans="1:22" ht="15.75" customHeight="1" thickBot="1">
      <c r="A158" s="818" t="s">
        <v>413</v>
      </c>
      <c r="B158" s="385" t="s">
        <v>306</v>
      </c>
      <c r="C158" s="371" t="s">
        <v>68</v>
      </c>
      <c r="D158" s="386">
        <v>0</v>
      </c>
      <c r="E158" s="738"/>
      <c r="F158" s="373" t="s">
        <v>40</v>
      </c>
      <c r="G158" s="743">
        <f>'2-Données générales'!C55</f>
        <v>2013</v>
      </c>
      <c r="H158" s="388" t="s">
        <v>60</v>
      </c>
      <c r="I158" s="328"/>
      <c r="J158" s="328"/>
      <c r="K158" s="328"/>
      <c r="L158" s="328"/>
      <c r="M158" s="737">
        <f>E158*'2-Données générales'!C72/'2-Données générales'!C56</f>
        <v>0</v>
      </c>
      <c r="N158" s="735">
        <v>5.5857540626453641</v>
      </c>
      <c r="O158" s="735">
        <v>5.6354197863631832</v>
      </c>
      <c r="P158" s="735">
        <v>0</v>
      </c>
      <c r="Q158" s="328"/>
      <c r="R158" s="328"/>
      <c r="S158" s="328"/>
      <c r="T158" s="328"/>
      <c r="U158" s="328"/>
      <c r="V158" s="328"/>
    </row>
    <row r="159" spans="1:22" ht="30.75" thickBot="1">
      <c r="A159" s="819"/>
      <c r="B159" s="407" t="s">
        <v>307</v>
      </c>
      <c r="C159" s="371" t="s">
        <v>68</v>
      </c>
      <c r="D159" s="400">
        <f>F124/'2-Données générales'!C72</f>
        <v>0</v>
      </c>
      <c r="E159" s="739"/>
      <c r="F159" s="376" t="s">
        <v>40</v>
      </c>
      <c r="G159" s="747"/>
      <c r="H159" s="408"/>
      <c r="I159" s="328"/>
      <c r="J159" s="328"/>
      <c r="K159" s="328"/>
      <c r="L159" s="328"/>
      <c r="M159" s="737"/>
      <c r="N159" s="735"/>
      <c r="O159" s="735"/>
      <c r="P159" s="735"/>
      <c r="Q159" s="328"/>
      <c r="R159" s="328"/>
      <c r="S159" s="328"/>
      <c r="T159" s="328"/>
      <c r="U159" s="328"/>
      <c r="V159" s="328"/>
    </row>
    <row r="160" spans="1:22" ht="30" customHeight="1" thickBot="1">
      <c r="A160" s="819"/>
      <c r="B160" s="409" t="s">
        <v>308</v>
      </c>
      <c r="C160" s="371" t="s">
        <v>68</v>
      </c>
      <c r="D160" s="46"/>
      <c r="E160" s="740"/>
      <c r="F160" s="380" t="s">
        <v>40</v>
      </c>
      <c r="G160" s="754"/>
      <c r="H160" s="410" t="s">
        <v>215</v>
      </c>
      <c r="I160" s="328"/>
      <c r="J160" s="328"/>
      <c r="K160" s="328"/>
      <c r="L160" s="328"/>
      <c r="M160" s="737"/>
      <c r="N160" s="735"/>
      <c r="O160" s="735"/>
      <c r="P160" s="735"/>
      <c r="Q160" s="328"/>
      <c r="R160" s="328"/>
      <c r="S160" s="328"/>
      <c r="T160" s="328"/>
      <c r="U160" s="328"/>
      <c r="V160" s="328"/>
    </row>
    <row r="161" spans="1:22" s="68" customFormat="1" ht="15.75" thickBot="1">
      <c r="A161" s="819"/>
      <c r="B161" s="385" t="s">
        <v>309</v>
      </c>
      <c r="C161" s="371" t="s">
        <v>68</v>
      </c>
      <c r="D161" s="386">
        <v>0</v>
      </c>
      <c r="E161" s="738"/>
      <c r="F161" s="383" t="s">
        <v>40</v>
      </c>
      <c r="G161" s="755">
        <f>'2-Données générales'!C55</f>
        <v>2013</v>
      </c>
      <c r="H161" s="388" t="s">
        <v>60</v>
      </c>
      <c r="I161" s="328"/>
      <c r="J161" s="328"/>
      <c r="K161" s="328"/>
      <c r="L161" s="328"/>
      <c r="M161" s="737">
        <f>E161*'2-Données générales'!C72/'2-Données générales'!C56</f>
        <v>0</v>
      </c>
      <c r="N161" s="733">
        <v>10.77926526037041</v>
      </c>
      <c r="O161" s="813">
        <v>10.875196376685949</v>
      </c>
      <c r="P161" s="733">
        <v>10.496147609982749</v>
      </c>
      <c r="Q161" s="328"/>
      <c r="R161" s="328"/>
      <c r="S161" s="328"/>
      <c r="T161" s="328"/>
      <c r="U161" s="328"/>
      <c r="V161" s="328"/>
    </row>
    <row r="162" spans="1:22" s="68" customFormat="1" ht="30.75" thickBot="1">
      <c r="A162" s="819"/>
      <c r="B162" s="407" t="s">
        <v>310</v>
      </c>
      <c r="C162" s="371" t="s">
        <v>68</v>
      </c>
      <c r="D162" s="400">
        <f>((B39*E50/B50)+(B40*E51/B51)+(B41*E52/B52)+(B42*E53/B53)+(B43*E54/B54))/'2-Données générales'!C72</f>
        <v>0</v>
      </c>
      <c r="E162" s="739"/>
      <c r="F162" s="387" t="s">
        <v>40</v>
      </c>
      <c r="G162" s="749"/>
      <c r="H162" s="408"/>
      <c r="I162" s="328"/>
      <c r="J162" s="328"/>
      <c r="K162" s="328"/>
      <c r="L162" s="328"/>
      <c r="M162" s="737"/>
      <c r="N162" s="733"/>
      <c r="O162" s="813"/>
      <c r="P162" s="733"/>
      <c r="Q162" s="328"/>
      <c r="R162" s="328"/>
      <c r="S162" s="328"/>
      <c r="T162" s="328"/>
      <c r="U162" s="328"/>
      <c r="V162" s="328"/>
    </row>
    <row r="163" spans="1:22" s="68" customFormat="1" ht="15.75" thickBot="1">
      <c r="A163" s="819"/>
      <c r="B163" s="409" t="s">
        <v>312</v>
      </c>
      <c r="C163" s="371" t="s">
        <v>68</v>
      </c>
      <c r="D163" s="46"/>
      <c r="E163" s="740"/>
      <c r="F163" s="390" t="s">
        <v>40</v>
      </c>
      <c r="G163" s="750"/>
      <c r="H163" s="410" t="s">
        <v>215</v>
      </c>
      <c r="I163" s="328"/>
      <c r="J163" s="328"/>
      <c r="K163" s="328"/>
      <c r="L163" s="328"/>
      <c r="M163" s="737"/>
      <c r="N163" s="733"/>
      <c r="O163" s="813"/>
      <c r="P163" s="733"/>
      <c r="Q163" s="328"/>
      <c r="R163" s="328"/>
      <c r="S163" s="328"/>
      <c r="T163" s="328"/>
      <c r="U163" s="328"/>
      <c r="V163" s="328"/>
    </row>
    <row r="164" spans="1:22" s="68" customFormat="1" ht="15.75" thickBot="1">
      <c r="A164" s="819"/>
      <c r="B164" s="385" t="s">
        <v>228</v>
      </c>
      <c r="C164" s="371" t="s">
        <v>68</v>
      </c>
      <c r="D164" s="386">
        <v>0</v>
      </c>
      <c r="E164" s="738"/>
      <c r="F164" s="373" t="s">
        <v>40</v>
      </c>
      <c r="G164" s="743">
        <f>'2-Données générales'!C55</f>
        <v>2013</v>
      </c>
      <c r="H164" s="388" t="s">
        <v>60</v>
      </c>
      <c r="I164" s="328"/>
      <c r="J164" s="328"/>
      <c r="K164" s="328"/>
      <c r="L164" s="328"/>
      <c r="M164" s="737">
        <f>E164*'2-Données générales'!C72/'2-Données générales'!C56</f>
        <v>0</v>
      </c>
      <c r="N164" s="812">
        <v>54.486038512857682</v>
      </c>
      <c r="O164" s="812">
        <v>0</v>
      </c>
      <c r="P164" s="812">
        <v>0</v>
      </c>
      <c r="Q164" s="328"/>
      <c r="R164" s="328"/>
      <c r="S164" s="328"/>
      <c r="T164" s="328"/>
      <c r="U164" s="328"/>
      <c r="V164" s="328"/>
    </row>
    <row r="165" spans="1:22" s="68" customFormat="1" ht="30.75" thickBot="1">
      <c r="A165" s="819"/>
      <c r="B165" s="407" t="s">
        <v>229</v>
      </c>
      <c r="C165" s="371" t="s">
        <v>68</v>
      </c>
      <c r="D165" s="400">
        <f>F124/'2-Données générales'!C72</f>
        <v>0</v>
      </c>
      <c r="E165" s="739"/>
      <c r="F165" s="376" t="s">
        <v>40</v>
      </c>
      <c r="G165" s="747"/>
      <c r="H165" s="408"/>
      <c r="I165" s="328"/>
      <c r="J165" s="328"/>
      <c r="K165" s="328"/>
      <c r="L165" s="328"/>
      <c r="M165" s="737"/>
      <c r="N165" s="812"/>
      <c r="O165" s="812"/>
      <c r="P165" s="812"/>
      <c r="Q165" s="328"/>
      <c r="R165" s="328"/>
      <c r="S165" s="328"/>
      <c r="T165" s="328"/>
      <c r="U165" s="328"/>
      <c r="V165" s="328"/>
    </row>
    <row r="166" spans="1:22" s="68" customFormat="1" ht="15.75" thickBot="1">
      <c r="A166" s="820"/>
      <c r="B166" s="409" t="s">
        <v>311</v>
      </c>
      <c r="C166" s="371" t="s">
        <v>68</v>
      </c>
      <c r="D166" s="46"/>
      <c r="E166" s="740"/>
      <c r="F166" s="380" t="s">
        <v>40</v>
      </c>
      <c r="G166" s="744"/>
      <c r="H166" s="410" t="s">
        <v>215</v>
      </c>
      <c r="I166" s="328"/>
      <c r="J166" s="328"/>
      <c r="K166" s="328"/>
      <c r="L166" s="328"/>
      <c r="M166" s="737"/>
      <c r="N166" s="812"/>
      <c r="O166" s="812"/>
      <c r="P166" s="812"/>
      <c r="Q166" s="328"/>
      <c r="R166" s="328"/>
      <c r="S166" s="328"/>
      <c r="T166" s="328"/>
      <c r="U166" s="328"/>
      <c r="V166" s="328"/>
    </row>
    <row r="167" spans="1:22" s="68" customFormat="1" ht="15.75" customHeight="1" thickBot="1">
      <c r="A167" s="818" t="s">
        <v>314</v>
      </c>
      <c r="B167" s="385" t="s">
        <v>315</v>
      </c>
      <c r="C167" s="371" t="s">
        <v>68</v>
      </c>
      <c r="D167" s="386">
        <f>'2-Données générales'!C40/'2-Données générales'!C73</f>
        <v>49625559.671988636</v>
      </c>
      <c r="E167" s="738"/>
      <c r="F167" s="383" t="s">
        <v>335</v>
      </c>
      <c r="G167" s="748">
        <f>'2-Données générales'!C55</f>
        <v>2013</v>
      </c>
      <c r="H167" s="388" t="s">
        <v>60</v>
      </c>
      <c r="I167" s="328"/>
      <c r="J167" s="328"/>
      <c r="K167" s="328"/>
      <c r="L167" s="328"/>
      <c r="M167" s="737">
        <f>E167*'2-Données générales'!C73/'2-Données générales'!C56</f>
        <v>0</v>
      </c>
      <c r="N167" s="735">
        <v>0</v>
      </c>
      <c r="O167" s="735">
        <v>0</v>
      </c>
      <c r="P167" s="735">
        <v>0</v>
      </c>
      <c r="Q167" s="328"/>
      <c r="R167" s="328"/>
      <c r="S167" s="328"/>
      <c r="T167" s="328"/>
      <c r="U167" s="328"/>
      <c r="V167" s="328"/>
    </row>
    <row r="168" spans="1:22" s="68" customFormat="1" ht="30.75" thickBot="1">
      <c r="A168" s="819"/>
      <c r="B168" s="407" t="s">
        <v>316</v>
      </c>
      <c r="C168" s="371" t="s">
        <v>68</v>
      </c>
      <c r="D168" s="400"/>
      <c r="E168" s="739"/>
      <c r="F168" s="387" t="s">
        <v>335</v>
      </c>
      <c r="G168" s="749"/>
      <c r="H168" s="408"/>
      <c r="I168" s="328"/>
      <c r="J168" s="328"/>
      <c r="K168" s="328"/>
      <c r="L168" s="328"/>
      <c r="M168" s="737"/>
      <c r="N168" s="735"/>
      <c r="O168" s="735"/>
      <c r="P168" s="735"/>
      <c r="Q168" s="328"/>
      <c r="R168" s="328"/>
      <c r="S168" s="328"/>
      <c r="T168" s="328"/>
      <c r="U168" s="328"/>
      <c r="V168" s="328"/>
    </row>
    <row r="169" spans="1:22" s="68" customFormat="1" ht="15.75" thickBot="1">
      <c r="A169" s="819"/>
      <c r="B169" s="409" t="s">
        <v>317</v>
      </c>
      <c r="C169" s="371" t="s">
        <v>68</v>
      </c>
      <c r="D169" s="46"/>
      <c r="E169" s="740"/>
      <c r="F169" s="390" t="s">
        <v>335</v>
      </c>
      <c r="G169" s="750"/>
      <c r="H169" s="410" t="s">
        <v>215</v>
      </c>
      <c r="I169" s="328"/>
      <c r="J169" s="328"/>
      <c r="K169" s="328"/>
      <c r="L169" s="328"/>
      <c r="M169" s="737"/>
      <c r="N169" s="735"/>
      <c r="O169" s="735"/>
      <c r="P169" s="735"/>
      <c r="Q169" s="328"/>
      <c r="R169" s="328"/>
      <c r="S169" s="328"/>
      <c r="T169" s="328"/>
      <c r="U169" s="328"/>
      <c r="V169" s="328"/>
    </row>
    <row r="170" spans="1:22" s="68" customFormat="1" ht="15.75" thickBot="1">
      <c r="A170" s="819"/>
      <c r="B170" s="385" t="s">
        <v>318</v>
      </c>
      <c r="C170" s="371" t="s">
        <v>68</v>
      </c>
      <c r="D170" s="386">
        <f>'2-Données générales'!D40/'2-Données générales'!C73</f>
        <v>0</v>
      </c>
      <c r="E170" s="738"/>
      <c r="F170" s="373" t="s">
        <v>335</v>
      </c>
      <c r="G170" s="745">
        <f>'2-Données générales'!C55</f>
        <v>2013</v>
      </c>
      <c r="H170" s="388" t="s">
        <v>60</v>
      </c>
      <c r="I170" s="328"/>
      <c r="J170" s="328"/>
      <c r="K170" s="328"/>
      <c r="L170" s="328"/>
      <c r="M170" s="737">
        <f>E170*'2-Données générales'!C73/'2-Données générales'!C56</f>
        <v>0</v>
      </c>
      <c r="N170" s="733">
        <v>0</v>
      </c>
      <c r="O170" s="813">
        <v>0</v>
      </c>
      <c r="P170" s="733">
        <v>0</v>
      </c>
      <c r="Q170" s="328"/>
      <c r="R170" s="328"/>
      <c r="S170" s="328"/>
      <c r="T170" s="328"/>
      <c r="U170" s="328"/>
      <c r="V170" s="328"/>
    </row>
    <row r="171" spans="1:22" s="68" customFormat="1" ht="30.75" thickBot="1">
      <c r="A171" s="819"/>
      <c r="B171" s="407" t="s">
        <v>319</v>
      </c>
      <c r="C171" s="371" t="s">
        <v>68</v>
      </c>
      <c r="D171" s="400">
        <f>((B39*D50/B50)+(B40*D51/B51)+(B41*D52/B52)+(B42*D53/B53)+(B43*D54/B54))/'2-Données générales'!C73</f>
        <v>0</v>
      </c>
      <c r="E171" s="739"/>
      <c r="F171" s="376" t="s">
        <v>335</v>
      </c>
      <c r="G171" s="751"/>
      <c r="H171" s="408"/>
      <c r="I171" s="328"/>
      <c r="J171" s="328"/>
      <c r="K171" s="328"/>
      <c r="L171" s="328"/>
      <c r="M171" s="737"/>
      <c r="N171" s="733"/>
      <c r="O171" s="813"/>
      <c r="P171" s="733"/>
      <c r="Q171" s="328"/>
      <c r="R171" s="328"/>
      <c r="S171" s="328"/>
      <c r="T171" s="328"/>
      <c r="U171" s="328"/>
      <c r="V171" s="328"/>
    </row>
    <row r="172" spans="1:22" s="68" customFormat="1" ht="15.75" thickBot="1">
      <c r="A172" s="819"/>
      <c r="B172" s="409" t="s">
        <v>320</v>
      </c>
      <c r="C172" s="371" t="s">
        <v>68</v>
      </c>
      <c r="D172" s="46"/>
      <c r="E172" s="740"/>
      <c r="F172" s="380" t="s">
        <v>335</v>
      </c>
      <c r="G172" s="752"/>
      <c r="H172" s="410" t="s">
        <v>215</v>
      </c>
      <c r="I172" s="328"/>
      <c r="J172" s="328"/>
      <c r="K172" s="328"/>
      <c r="L172" s="328"/>
      <c r="M172" s="737"/>
      <c r="N172" s="733"/>
      <c r="O172" s="813"/>
      <c r="P172" s="733"/>
      <c r="Q172" s="328"/>
      <c r="R172" s="328"/>
      <c r="S172" s="328"/>
      <c r="T172" s="328"/>
      <c r="U172" s="328"/>
      <c r="V172" s="328"/>
    </row>
    <row r="173" spans="1:22" s="68" customFormat="1" ht="15.75" thickBot="1">
      <c r="A173" s="782" t="s">
        <v>321</v>
      </c>
      <c r="B173" s="370" t="s">
        <v>322</v>
      </c>
      <c r="C173" s="371" t="s">
        <v>68</v>
      </c>
      <c r="D173" s="372">
        <v>0</v>
      </c>
      <c r="E173" s="738"/>
      <c r="F173" s="373" t="s">
        <v>335</v>
      </c>
      <c r="G173" s="747">
        <f>'2-Données générales'!C55</f>
        <v>2013</v>
      </c>
      <c r="H173" s="374" t="s">
        <v>60</v>
      </c>
      <c r="I173" s="328"/>
      <c r="J173" s="328"/>
      <c r="K173" s="328"/>
      <c r="L173" s="328"/>
      <c r="M173" s="737">
        <f>E173*'2-Données générales'!C65/'2-Données générales'!C56</f>
        <v>0</v>
      </c>
      <c r="N173" s="812">
        <v>0</v>
      </c>
      <c r="O173" s="812">
        <v>1.0439377808193449</v>
      </c>
      <c r="P173" s="812">
        <v>0</v>
      </c>
      <c r="Q173" s="328"/>
      <c r="R173" s="328"/>
      <c r="S173" s="328"/>
      <c r="T173" s="328"/>
      <c r="U173" s="328"/>
      <c r="V173" s="328"/>
    </row>
    <row r="174" spans="1:22" s="68" customFormat="1" ht="30.75" thickBot="1">
      <c r="A174" s="783"/>
      <c r="B174" s="401" t="s">
        <v>323</v>
      </c>
      <c r="C174" s="371" t="s">
        <v>68</v>
      </c>
      <c r="D174" s="394">
        <f>H124/Coal_conv_C51</f>
        <v>0</v>
      </c>
      <c r="E174" s="739"/>
      <c r="F174" s="376" t="s">
        <v>335</v>
      </c>
      <c r="G174" s="747"/>
      <c r="H174" s="411"/>
      <c r="I174" s="328"/>
      <c r="J174" s="328"/>
      <c r="K174" s="328"/>
      <c r="L174" s="328"/>
      <c r="M174" s="737"/>
      <c r="N174" s="812"/>
      <c r="O174" s="812"/>
      <c r="P174" s="812"/>
      <c r="Q174" s="328"/>
      <c r="R174" s="328"/>
      <c r="S174" s="328"/>
      <c r="T174" s="328"/>
      <c r="U174" s="328"/>
      <c r="V174" s="328"/>
    </row>
    <row r="175" spans="1:22" s="68" customFormat="1" ht="20.25" customHeight="1" thickBot="1">
      <c r="A175" s="783"/>
      <c r="B175" s="395" t="s">
        <v>324</v>
      </c>
      <c r="C175" s="371" t="s">
        <v>68</v>
      </c>
      <c r="D175" s="45"/>
      <c r="E175" s="740"/>
      <c r="F175" s="380" t="s">
        <v>335</v>
      </c>
      <c r="G175" s="744"/>
      <c r="H175" s="412" t="s">
        <v>215</v>
      </c>
      <c r="I175" s="328"/>
      <c r="J175" s="328"/>
      <c r="K175" s="328"/>
      <c r="L175" s="328"/>
      <c r="M175" s="737"/>
      <c r="N175" s="812"/>
      <c r="O175" s="812"/>
      <c r="P175" s="812"/>
      <c r="Q175" s="328"/>
      <c r="R175" s="328"/>
      <c r="S175" s="328"/>
      <c r="T175" s="328"/>
      <c r="U175" s="328"/>
      <c r="V175" s="328"/>
    </row>
    <row r="176" spans="1:22" ht="15.75" thickBot="1">
      <c r="A176" s="782" t="s">
        <v>305</v>
      </c>
      <c r="B176" s="370" t="s">
        <v>230</v>
      </c>
      <c r="C176" s="371" t="s">
        <v>68</v>
      </c>
      <c r="D176" s="372">
        <v>0</v>
      </c>
      <c r="E176" s="738"/>
      <c r="F176" s="413" t="s">
        <v>29</v>
      </c>
      <c r="G176" s="743">
        <f>'2-Données générales'!C55</f>
        <v>2013</v>
      </c>
      <c r="H176" s="374" t="s">
        <v>60</v>
      </c>
      <c r="I176" s="328"/>
      <c r="J176" s="328"/>
      <c r="K176" s="328"/>
      <c r="L176" s="328"/>
      <c r="M176" s="737">
        <f>E176*'2-Données générales'!C68/'2-Données générales'!C56</f>
        <v>0</v>
      </c>
      <c r="N176" s="814">
        <v>0</v>
      </c>
      <c r="O176" s="814">
        <v>0</v>
      </c>
      <c r="P176" s="814">
        <v>0</v>
      </c>
      <c r="Q176" s="328"/>
      <c r="R176" s="328"/>
      <c r="S176" s="328"/>
      <c r="T176" s="328"/>
      <c r="U176" s="328"/>
      <c r="V176" s="328"/>
    </row>
    <row r="177" spans="1:22" ht="30.75" thickBot="1">
      <c r="A177" s="783"/>
      <c r="B177" s="401" t="s">
        <v>313</v>
      </c>
      <c r="C177" s="371" t="s">
        <v>68</v>
      </c>
      <c r="D177" s="394">
        <f>G124/Coal_conv_C51</f>
        <v>0</v>
      </c>
      <c r="E177" s="739"/>
      <c r="F177" s="402" t="s">
        <v>29</v>
      </c>
      <c r="G177" s="747"/>
      <c r="H177" s="411"/>
      <c r="I177" s="328"/>
      <c r="J177" s="328"/>
      <c r="K177" s="328"/>
      <c r="L177" s="328"/>
      <c r="M177" s="737"/>
      <c r="N177" s="814"/>
      <c r="O177" s="814"/>
      <c r="P177" s="814"/>
      <c r="Q177" s="328"/>
      <c r="R177" s="328"/>
      <c r="S177" s="328"/>
      <c r="T177" s="328"/>
      <c r="U177" s="328"/>
      <c r="V177" s="328"/>
    </row>
    <row r="178" spans="1:22" ht="20.25" customHeight="1" thickBot="1">
      <c r="A178" s="783"/>
      <c r="B178" s="395" t="s">
        <v>325</v>
      </c>
      <c r="C178" s="371" t="s">
        <v>68</v>
      </c>
      <c r="D178" s="45"/>
      <c r="E178" s="740"/>
      <c r="F178" s="414" t="s">
        <v>29</v>
      </c>
      <c r="G178" s="744"/>
      <c r="H178" s="412" t="s">
        <v>215</v>
      </c>
      <c r="I178" s="328"/>
      <c r="J178" s="328"/>
      <c r="K178" s="328"/>
      <c r="L178" s="328"/>
      <c r="M178" s="737"/>
      <c r="N178" s="814"/>
      <c r="O178" s="814"/>
      <c r="P178" s="814"/>
      <c r="Q178" s="328"/>
      <c r="R178" s="328"/>
      <c r="S178" s="328"/>
      <c r="T178" s="328"/>
      <c r="U178" s="328"/>
      <c r="V178" s="328"/>
    </row>
    <row r="179" spans="1:22" ht="15.75" thickBot="1">
      <c r="A179" s="784" t="s">
        <v>231</v>
      </c>
      <c r="B179" s="378" t="s">
        <v>232</v>
      </c>
      <c r="C179" s="371" t="s">
        <v>68</v>
      </c>
      <c r="D179" s="379">
        <f>Resid_Solar_D15*mun_population_E22/Tun_pop</f>
        <v>141.26977625345853</v>
      </c>
      <c r="E179" s="738">
        <f>D179</f>
        <v>141.26977625345853</v>
      </c>
      <c r="F179" s="415" t="s">
        <v>21</v>
      </c>
      <c r="G179" s="748">
        <f>'2-Données générales'!C55</f>
        <v>2013</v>
      </c>
      <c r="H179" s="381" t="s">
        <v>60</v>
      </c>
      <c r="I179" s="328"/>
      <c r="J179" s="328"/>
      <c r="K179" s="328"/>
      <c r="L179" s="328"/>
      <c r="M179" s="737">
        <f>E179/'2-Données générales'!$C$56</f>
        <v>4.0876671369634993E-2</v>
      </c>
      <c r="N179" s="758">
        <v>0</v>
      </c>
      <c r="O179" s="758">
        <v>0</v>
      </c>
      <c r="P179" s="758">
        <v>0</v>
      </c>
      <c r="Q179" s="328"/>
      <c r="R179" s="328"/>
      <c r="S179" s="328"/>
      <c r="T179" s="328"/>
      <c r="U179" s="328"/>
      <c r="V179" s="328"/>
    </row>
    <row r="180" spans="1:22" ht="30.75" thickBot="1">
      <c r="A180" s="785"/>
      <c r="B180" s="416" t="s">
        <v>233</v>
      </c>
      <c r="C180" s="371" t="s">
        <v>68</v>
      </c>
      <c r="D180" s="417">
        <f>E137*I29/C29</f>
        <v>22.594445556932758</v>
      </c>
      <c r="E180" s="739"/>
      <c r="F180" s="418" t="s">
        <v>21</v>
      </c>
      <c r="G180" s="749"/>
      <c r="H180" s="419" t="s">
        <v>215</v>
      </c>
      <c r="I180" s="328"/>
      <c r="J180" s="328"/>
      <c r="K180" s="328"/>
      <c r="L180" s="328"/>
      <c r="M180" s="737"/>
      <c r="N180" s="759"/>
      <c r="O180" s="759"/>
      <c r="P180" s="759"/>
      <c r="Q180" s="328"/>
      <c r="R180" s="328"/>
      <c r="S180" s="328"/>
      <c r="T180" s="328"/>
      <c r="U180" s="328"/>
      <c r="V180" s="328"/>
    </row>
    <row r="181" spans="1:22" ht="15.75" thickBot="1">
      <c r="A181" s="785"/>
      <c r="B181" s="404" t="s">
        <v>327</v>
      </c>
      <c r="C181" s="371" t="s">
        <v>68</v>
      </c>
      <c r="D181" s="44"/>
      <c r="E181" s="740"/>
      <c r="F181" s="420" t="s">
        <v>21</v>
      </c>
      <c r="G181" s="750"/>
      <c r="H181" s="421" t="s">
        <v>215</v>
      </c>
      <c r="I181" s="328"/>
      <c r="J181" s="328"/>
      <c r="K181" s="328"/>
      <c r="L181" s="328"/>
      <c r="M181" s="737"/>
      <c r="N181" s="759"/>
      <c r="O181" s="759"/>
      <c r="P181" s="759"/>
      <c r="Q181" s="328"/>
      <c r="R181" s="328"/>
      <c r="S181" s="328"/>
      <c r="T181" s="328"/>
      <c r="U181" s="328"/>
      <c r="V181" s="328"/>
    </row>
    <row r="182" spans="1:22" s="68" customFormat="1" ht="15.75" thickBot="1">
      <c r="A182" s="785"/>
      <c r="B182" s="422" t="s">
        <v>328</v>
      </c>
      <c r="C182" s="371" t="s">
        <v>68</v>
      </c>
      <c r="D182" s="417"/>
      <c r="E182" s="773"/>
      <c r="F182" s="423" t="s">
        <v>29</v>
      </c>
      <c r="G182" s="745">
        <f>'2-Données générales'!C55</f>
        <v>2013</v>
      </c>
      <c r="H182" s="421" t="s">
        <v>215</v>
      </c>
      <c r="I182" s="328"/>
      <c r="J182" s="328"/>
      <c r="K182" s="328"/>
      <c r="L182" s="328"/>
      <c r="M182" s="737">
        <f>E182*'2-Données générales'!C68/'2-Données générales'!C56</f>
        <v>0</v>
      </c>
      <c r="N182" s="735">
        <v>0</v>
      </c>
      <c r="O182" s="772">
        <v>0</v>
      </c>
      <c r="P182" s="772">
        <v>0</v>
      </c>
      <c r="Q182" s="328"/>
      <c r="R182" s="328"/>
      <c r="S182" s="328"/>
      <c r="T182" s="328"/>
      <c r="U182" s="328"/>
      <c r="V182" s="328"/>
    </row>
    <row r="183" spans="1:22" s="68" customFormat="1" ht="15.75" thickBot="1">
      <c r="A183" s="785"/>
      <c r="B183" s="424" t="s">
        <v>329</v>
      </c>
      <c r="C183" s="371" t="s">
        <v>68</v>
      </c>
      <c r="D183" s="405"/>
      <c r="E183" s="774"/>
      <c r="F183" s="425" t="s">
        <v>29</v>
      </c>
      <c r="G183" s="746"/>
      <c r="H183" s="421" t="s">
        <v>215</v>
      </c>
      <c r="I183" s="328"/>
      <c r="J183" s="328"/>
      <c r="K183" s="328"/>
      <c r="L183" s="328"/>
      <c r="M183" s="737"/>
      <c r="N183" s="735"/>
      <c r="O183" s="772"/>
      <c r="P183" s="772"/>
      <c r="Q183" s="328"/>
      <c r="R183" s="328"/>
      <c r="S183" s="328"/>
      <c r="T183" s="328"/>
      <c r="U183" s="328"/>
      <c r="V183" s="328"/>
    </row>
    <row r="184" spans="1:22" ht="15.75" thickBot="1">
      <c r="A184" s="785"/>
      <c r="B184" s="422" t="s">
        <v>234</v>
      </c>
      <c r="C184" s="371" t="s">
        <v>68</v>
      </c>
      <c r="D184" s="426">
        <f>(B59*800*220) + (B60*200*220)+ ((B39*F50/B50)+(B40*F51/B51)+(B41*F52/B52)+(B42*F53/B53)+(B43*F54/B54))/Wood_conv_C52</f>
        <v>0</v>
      </c>
      <c r="E184" s="773"/>
      <c r="F184" s="423" t="s">
        <v>29</v>
      </c>
      <c r="G184" s="745">
        <f>'2-Données générales'!C55</f>
        <v>2013</v>
      </c>
      <c r="H184" s="421" t="s">
        <v>215</v>
      </c>
      <c r="I184" s="328"/>
      <c r="J184" s="328"/>
      <c r="K184" s="328"/>
      <c r="L184" s="328"/>
      <c r="M184" s="737">
        <f>E184*'2-Données générales'!C68/'2-Données générales'!C56</f>
        <v>0</v>
      </c>
      <c r="N184" s="735">
        <v>0</v>
      </c>
      <c r="O184" s="772">
        <v>0</v>
      </c>
      <c r="P184" s="772">
        <v>0</v>
      </c>
      <c r="Q184" s="328"/>
      <c r="R184" s="328"/>
      <c r="S184" s="328"/>
      <c r="T184" s="328"/>
      <c r="U184" s="328"/>
      <c r="V184" s="328"/>
    </row>
    <row r="185" spans="1:22" ht="15.75" thickBot="1">
      <c r="A185" s="786"/>
      <c r="B185" s="424" t="s">
        <v>326</v>
      </c>
      <c r="C185" s="371" t="s">
        <v>68</v>
      </c>
      <c r="D185" s="44"/>
      <c r="E185" s="774"/>
      <c r="F185" s="425" t="s">
        <v>29</v>
      </c>
      <c r="G185" s="746"/>
      <c r="H185" s="421" t="s">
        <v>215</v>
      </c>
      <c r="I185" s="328"/>
      <c r="J185" s="328"/>
      <c r="K185" s="328"/>
      <c r="L185" s="328"/>
      <c r="M185" s="737"/>
      <c r="N185" s="735"/>
      <c r="O185" s="772"/>
      <c r="P185" s="772"/>
      <c r="Q185" s="328"/>
      <c r="R185" s="328"/>
      <c r="S185" s="328"/>
      <c r="T185" s="328"/>
      <c r="U185" s="328"/>
      <c r="V185" s="328"/>
    </row>
    <row r="186" spans="1:22">
      <c r="A186" s="328"/>
      <c r="B186" s="328"/>
      <c r="C186" s="328"/>
      <c r="D186" s="328"/>
      <c r="E186" s="328"/>
      <c r="F186" s="328"/>
      <c r="G186" s="328"/>
      <c r="H186" s="328"/>
      <c r="I186" s="328"/>
      <c r="J186" s="328"/>
      <c r="K186" s="328"/>
      <c r="L186" s="328"/>
      <c r="M186" s="328"/>
      <c r="N186" s="328"/>
      <c r="O186" s="328"/>
      <c r="P186" s="328"/>
      <c r="Q186" s="328"/>
      <c r="R186" s="328"/>
      <c r="S186" s="328"/>
      <c r="T186" s="328"/>
      <c r="U186" s="328"/>
      <c r="V186" s="328"/>
    </row>
    <row r="187" spans="1:22" ht="15.75">
      <c r="A187" s="18" t="s">
        <v>246</v>
      </c>
      <c r="B187" s="220"/>
      <c r="C187" s="221"/>
      <c r="D187" s="221"/>
      <c r="E187" s="221"/>
      <c r="F187" s="221"/>
      <c r="G187" s="221"/>
      <c r="H187" s="221"/>
      <c r="I187" s="221"/>
      <c r="J187" s="221"/>
      <c r="K187" s="221"/>
      <c r="L187" s="329"/>
      <c r="M187" s="221"/>
      <c r="N187" s="221"/>
      <c r="O187" s="221"/>
      <c r="P187" s="253"/>
      <c r="Q187" s="253"/>
      <c r="R187" s="253"/>
      <c r="S187" s="253"/>
      <c r="T187" s="253"/>
      <c r="U187" s="253"/>
      <c r="V187" s="253"/>
    </row>
    <row r="188" spans="1:22" ht="15.75" thickBot="1">
      <c r="A188" s="328"/>
      <c r="B188" s="328"/>
      <c r="C188" s="328"/>
      <c r="D188" s="328"/>
      <c r="E188" s="328"/>
      <c r="F188" s="328"/>
      <c r="G188" s="328"/>
      <c r="H188" s="328"/>
      <c r="I188" s="328"/>
      <c r="J188" s="328"/>
      <c r="K188" s="328"/>
      <c r="L188" s="328"/>
      <c r="M188" s="328"/>
      <c r="N188" s="328"/>
      <c r="O188" s="328"/>
      <c r="P188" s="328"/>
      <c r="Q188" s="328"/>
      <c r="R188" s="328"/>
      <c r="S188" s="328"/>
      <c r="T188" s="328"/>
      <c r="U188" s="328"/>
      <c r="V188" s="328"/>
    </row>
    <row r="189" spans="1:22" ht="18.75">
      <c r="A189" s="757" t="s">
        <v>237</v>
      </c>
      <c r="B189" s="757"/>
      <c r="C189" s="757"/>
      <c r="D189" s="757"/>
      <c r="E189" s="757"/>
      <c r="F189" s="757"/>
      <c r="G189" s="328"/>
      <c r="H189" s="328"/>
      <c r="I189" s="328"/>
      <c r="J189" s="328"/>
      <c r="K189" s="328"/>
      <c r="L189" s="328"/>
      <c r="M189" s="829" t="s">
        <v>330</v>
      </c>
      <c r="N189" s="830"/>
      <c r="O189" s="830"/>
      <c r="P189" s="830"/>
      <c r="Q189" s="830"/>
      <c r="R189" s="831"/>
      <c r="S189" s="328"/>
      <c r="T189" s="328"/>
      <c r="U189" s="328"/>
      <c r="V189" s="328"/>
    </row>
    <row r="190" spans="1:22" ht="30">
      <c r="A190" s="775" t="s">
        <v>238</v>
      </c>
      <c r="B190" s="720"/>
      <c r="C190" s="427" t="s">
        <v>149</v>
      </c>
      <c r="D190" s="428" t="s">
        <v>239</v>
      </c>
      <c r="E190" s="429" t="s">
        <v>159</v>
      </c>
      <c r="F190" s="430" t="s">
        <v>124</v>
      </c>
      <c r="G190" s="328"/>
      <c r="H190" s="328"/>
      <c r="I190" s="328"/>
      <c r="J190" s="328"/>
      <c r="K190" s="328"/>
      <c r="L190" s="328"/>
      <c r="M190" s="760" t="s">
        <v>331</v>
      </c>
      <c r="N190" s="761"/>
      <c r="O190" s="431" t="s">
        <v>8</v>
      </c>
      <c r="P190" s="432" t="s">
        <v>9</v>
      </c>
      <c r="Q190" s="433" t="s">
        <v>10</v>
      </c>
      <c r="R190" s="434" t="s">
        <v>30</v>
      </c>
      <c r="S190" s="328"/>
      <c r="T190" s="328"/>
      <c r="U190" s="328"/>
      <c r="V190" s="328"/>
    </row>
    <row r="191" spans="1:22">
      <c r="A191" s="764" t="s">
        <v>36</v>
      </c>
      <c r="B191" s="764"/>
      <c r="C191" s="435">
        <f>E137</f>
        <v>1364.989088803191</v>
      </c>
      <c r="D191" s="435">
        <f>E139</f>
        <v>1601.2341438318426</v>
      </c>
      <c r="E191" s="435">
        <f>E141</f>
        <v>6345</v>
      </c>
      <c r="F191" s="435">
        <f>SUM(C191:E191)</f>
        <v>9311.2232326350331</v>
      </c>
      <c r="G191" s="328"/>
      <c r="H191" s="328"/>
      <c r="I191" s="328"/>
      <c r="J191" s="328"/>
      <c r="K191" s="328"/>
      <c r="L191" s="328"/>
      <c r="M191" s="768" t="s">
        <v>0</v>
      </c>
      <c r="N191" s="769"/>
      <c r="O191" s="436">
        <f>C191/1000*'2-Données générales'!D80</f>
        <v>869.16195562558676</v>
      </c>
      <c r="P191" s="436">
        <f>D191/1000*'2-Données générales'!D80</f>
        <v>1019.5918863260681</v>
      </c>
      <c r="Q191" s="436">
        <f>E191/1000*'2-Données générales'!D80</f>
        <v>4040.2027046822027</v>
      </c>
      <c r="R191" s="437">
        <f t="shared" ref="R191:R207" si="51">SUM(O191:Q191)</f>
        <v>5928.9565466338572</v>
      </c>
      <c r="S191" s="328"/>
      <c r="T191" s="328"/>
      <c r="U191" s="328"/>
      <c r="V191" s="328"/>
    </row>
    <row r="192" spans="1:22">
      <c r="A192" s="765" t="s">
        <v>240</v>
      </c>
      <c r="B192" s="765"/>
      <c r="C192" s="438"/>
      <c r="D192" s="438"/>
      <c r="E192" s="438"/>
      <c r="F192" s="438">
        <f t="shared" ref="F192:F208" si="52">SUM(C192:E192)</f>
        <v>0</v>
      </c>
      <c r="G192" s="328"/>
      <c r="H192" s="328"/>
      <c r="I192" s="328"/>
      <c r="J192" s="328"/>
      <c r="K192" s="328"/>
      <c r="L192" s="328"/>
      <c r="M192" s="770" t="s">
        <v>1</v>
      </c>
      <c r="N192" s="771"/>
      <c r="O192" s="439">
        <f>C192/1000*'2-Données générales'!D81</f>
        <v>0</v>
      </c>
      <c r="P192" s="439">
        <f>D192/1000*'2-Données générales'!D81</f>
        <v>0</v>
      </c>
      <c r="Q192" s="439">
        <f>J192/1000*'2-Données générales'!D81</f>
        <v>0</v>
      </c>
      <c r="R192" s="440">
        <f t="shared" si="51"/>
        <v>0</v>
      </c>
      <c r="S192" s="328"/>
      <c r="T192" s="328"/>
      <c r="U192" s="328"/>
      <c r="V192" s="328"/>
    </row>
    <row r="193" spans="1:22">
      <c r="A193" s="753" t="s">
        <v>125</v>
      </c>
      <c r="B193" s="84" t="s">
        <v>241</v>
      </c>
      <c r="C193" s="441">
        <f>E158*'2-Données générales'!C72</f>
        <v>0</v>
      </c>
      <c r="D193" s="441">
        <f>E161*'2-Données générales'!C72</f>
        <v>0</v>
      </c>
      <c r="E193" s="441">
        <f>E164*'2-Données générales'!C72</f>
        <v>0</v>
      </c>
      <c r="F193" s="441">
        <f t="shared" si="52"/>
        <v>0</v>
      </c>
      <c r="G193" s="328"/>
      <c r="H193" s="328"/>
      <c r="I193" s="328"/>
      <c r="J193" s="328"/>
      <c r="K193" s="328"/>
      <c r="L193" s="328"/>
      <c r="M193" s="776" t="s">
        <v>3</v>
      </c>
      <c r="N193" s="84" t="s">
        <v>241</v>
      </c>
      <c r="O193" s="442">
        <f>C193/1000*'2-Données générales'!D82</f>
        <v>0</v>
      </c>
      <c r="P193" s="442">
        <f>D193/1000*'2-Données générales'!D82</f>
        <v>0</v>
      </c>
      <c r="Q193" s="442">
        <f>J193/1000*'2-Données générales'!D82</f>
        <v>0</v>
      </c>
      <c r="R193" s="443">
        <f t="shared" si="51"/>
        <v>0</v>
      </c>
      <c r="S193" s="328"/>
      <c r="T193" s="328"/>
      <c r="U193" s="328"/>
      <c r="V193" s="328"/>
    </row>
    <row r="194" spans="1:22">
      <c r="A194" s="747"/>
      <c r="B194" s="85" t="s">
        <v>242</v>
      </c>
      <c r="C194" s="435">
        <f>E143*LPG_conv_C50</f>
        <v>1708.1378778948917</v>
      </c>
      <c r="D194" s="435">
        <f>E146*LPG_conv_C50</f>
        <v>184.79480125880451</v>
      </c>
      <c r="E194" s="435">
        <f>E149*LPG_conv_C50</f>
        <v>31.868232558139539</v>
      </c>
      <c r="F194" s="435">
        <f t="shared" si="52"/>
        <v>1924.8009117118359</v>
      </c>
      <c r="G194" s="328"/>
      <c r="H194" s="328"/>
      <c r="I194" s="328"/>
      <c r="J194" s="328"/>
      <c r="K194" s="328"/>
      <c r="L194" s="328"/>
      <c r="M194" s="777"/>
      <c r="N194" s="85" t="s">
        <v>242</v>
      </c>
      <c r="O194" s="436">
        <f>C194/1000*'2-Données générales'!D83</f>
        <v>388.4274861478757</v>
      </c>
      <c r="P194" s="436">
        <f>D194/1000*'2-Données générales'!D83</f>
        <v>42.022005972149394</v>
      </c>
      <c r="Q194" s="436">
        <f>E194/1000*'2-Données générales'!D83</f>
        <v>7.2467788582671568</v>
      </c>
      <c r="R194" s="437">
        <f t="shared" si="51"/>
        <v>437.6962709782922</v>
      </c>
      <c r="S194" s="328"/>
      <c r="T194" s="328"/>
      <c r="U194" s="328"/>
      <c r="V194" s="328"/>
    </row>
    <row r="195" spans="1:22">
      <c r="A195" s="747"/>
      <c r="B195" s="86" t="s">
        <v>243</v>
      </c>
      <c r="C195" s="438"/>
      <c r="D195" s="438"/>
      <c r="E195" s="438"/>
      <c r="F195" s="438">
        <f t="shared" si="52"/>
        <v>0</v>
      </c>
      <c r="G195" s="328"/>
      <c r="H195" s="328"/>
      <c r="I195" s="328"/>
      <c r="J195" s="328"/>
      <c r="K195" s="328"/>
      <c r="L195" s="328"/>
      <c r="M195" s="777"/>
      <c r="N195" s="86" t="s">
        <v>243</v>
      </c>
      <c r="O195" s="439">
        <f>C195/1000*'2-Données générales'!D84</f>
        <v>0</v>
      </c>
      <c r="P195" s="439">
        <f>D195/1000*'2-Données générales'!D84</f>
        <v>0</v>
      </c>
      <c r="Q195" s="439">
        <f>J195/1000*'2-Données générales'!D84</f>
        <v>0</v>
      </c>
      <c r="R195" s="440">
        <f t="shared" si="51"/>
        <v>0</v>
      </c>
      <c r="S195" s="328"/>
      <c r="T195" s="328"/>
      <c r="U195" s="328"/>
      <c r="V195" s="328"/>
    </row>
    <row r="196" spans="1:22">
      <c r="A196" s="747"/>
      <c r="B196" s="84" t="s">
        <v>292</v>
      </c>
      <c r="C196" s="441"/>
      <c r="D196" s="441"/>
      <c r="E196" s="441">
        <f>E173*Diesel_conv_C48</f>
        <v>0</v>
      </c>
      <c r="F196" s="441">
        <f t="shared" si="52"/>
        <v>0</v>
      </c>
      <c r="G196" s="328"/>
      <c r="H196" s="328"/>
      <c r="I196" s="328"/>
      <c r="J196" s="328"/>
      <c r="K196" s="328"/>
      <c r="L196" s="328"/>
      <c r="M196" s="777"/>
      <c r="N196" s="84" t="s">
        <v>292</v>
      </c>
      <c r="O196" s="439">
        <f>C196/1000*'2-Données générales'!D85</f>
        <v>0</v>
      </c>
      <c r="P196" s="439">
        <f>D196/1000*'2-Données générales'!D85</f>
        <v>0</v>
      </c>
      <c r="Q196" s="439">
        <f>J196/1000*'2-Données générales'!D85</f>
        <v>0</v>
      </c>
      <c r="R196" s="440">
        <f t="shared" si="51"/>
        <v>0</v>
      </c>
      <c r="S196" s="328"/>
      <c r="T196" s="328"/>
      <c r="U196" s="328"/>
      <c r="V196" s="328"/>
    </row>
    <row r="197" spans="1:22">
      <c r="A197" s="747"/>
      <c r="B197" s="85" t="s">
        <v>95</v>
      </c>
      <c r="C197" s="444"/>
      <c r="D197" s="445"/>
      <c r="E197" s="435"/>
      <c r="F197" s="435">
        <f t="shared" si="52"/>
        <v>0</v>
      </c>
      <c r="G197" s="328"/>
      <c r="H197" s="328"/>
      <c r="I197" s="328"/>
      <c r="J197" s="328"/>
      <c r="K197" s="328"/>
      <c r="L197" s="328"/>
      <c r="M197" s="777"/>
      <c r="N197" s="85" t="s">
        <v>95</v>
      </c>
      <c r="O197" s="436">
        <f>C197/1000*'2-Données générales'!D86</f>
        <v>0</v>
      </c>
      <c r="P197" s="436">
        <f>D197/1000*'2-Données générales'!D86</f>
        <v>0</v>
      </c>
      <c r="Q197" s="436">
        <f>E197*gasol_fac_E96/1000</f>
        <v>0</v>
      </c>
      <c r="R197" s="437">
        <f t="shared" si="51"/>
        <v>0</v>
      </c>
      <c r="S197" s="328"/>
      <c r="T197" s="328"/>
      <c r="U197" s="328"/>
      <c r="V197" s="328"/>
    </row>
    <row r="198" spans="1:22" s="68" customFormat="1">
      <c r="A198" s="747"/>
      <c r="B198" s="85" t="s">
        <v>287</v>
      </c>
      <c r="C198" s="435">
        <f>E167*'2-Données générales'!C73</f>
        <v>0</v>
      </c>
      <c r="D198" s="435">
        <f>E170*'2-Données générales'!C73</f>
        <v>0</v>
      </c>
      <c r="E198" s="445"/>
      <c r="F198" s="435">
        <f t="shared" si="52"/>
        <v>0</v>
      </c>
      <c r="G198" s="328"/>
      <c r="H198" s="328"/>
      <c r="I198" s="328"/>
      <c r="J198" s="328"/>
      <c r="K198" s="328"/>
      <c r="L198" s="328"/>
      <c r="M198" s="777"/>
      <c r="N198" s="85" t="s">
        <v>287</v>
      </c>
      <c r="O198" s="436">
        <f>C198/1000*'2-Données générales'!D90</f>
        <v>0</v>
      </c>
      <c r="P198" s="436">
        <f>D198/1000*'2-Données générales'!D90</f>
        <v>0</v>
      </c>
      <c r="Q198" s="436">
        <f>E198*'2-Données générales'!D90/1000</f>
        <v>0</v>
      </c>
      <c r="R198" s="437">
        <f t="shared" si="51"/>
        <v>0</v>
      </c>
      <c r="S198" s="328"/>
      <c r="T198" s="328"/>
      <c r="U198" s="328"/>
      <c r="V198" s="328"/>
    </row>
    <row r="199" spans="1:22">
      <c r="A199" s="747"/>
      <c r="B199" s="86" t="s">
        <v>2</v>
      </c>
      <c r="C199" s="446"/>
      <c r="D199" s="446"/>
      <c r="E199" s="438"/>
      <c r="F199" s="438">
        <f t="shared" si="52"/>
        <v>0</v>
      </c>
      <c r="G199" s="328"/>
      <c r="H199" s="328"/>
      <c r="I199" s="328"/>
      <c r="J199" s="328"/>
      <c r="K199" s="328"/>
      <c r="L199" s="328"/>
      <c r="M199" s="777"/>
      <c r="N199" s="86" t="s">
        <v>2</v>
      </c>
      <c r="O199" s="447">
        <f>C199/1000*'2-Données générales'!D87</f>
        <v>0</v>
      </c>
      <c r="P199" s="447">
        <f>D199/1000*'2-Données générales'!D87</f>
        <v>0</v>
      </c>
      <c r="Q199" s="439">
        <f>E199*lign_fac_E97/1000</f>
        <v>0</v>
      </c>
      <c r="R199" s="440">
        <f t="shared" si="51"/>
        <v>0</v>
      </c>
      <c r="S199" s="328"/>
      <c r="T199" s="328"/>
      <c r="U199" s="328"/>
      <c r="V199" s="328"/>
    </row>
    <row r="200" spans="1:22">
      <c r="A200" s="747"/>
      <c r="B200" s="84" t="s">
        <v>298</v>
      </c>
      <c r="C200" s="448"/>
      <c r="D200" s="448"/>
      <c r="E200" s="441">
        <f>E176*Coal_conv_C51</f>
        <v>0</v>
      </c>
      <c r="F200" s="441">
        <f t="shared" si="52"/>
        <v>0</v>
      </c>
      <c r="G200" s="328"/>
      <c r="H200" s="328"/>
      <c r="I200" s="328"/>
      <c r="J200" s="328"/>
      <c r="K200" s="328"/>
      <c r="L200" s="328"/>
      <c r="M200" s="777"/>
      <c r="N200" s="84" t="s">
        <v>298</v>
      </c>
      <c r="O200" s="449">
        <f>C200/1000*'2-Données générales'!D88</f>
        <v>0</v>
      </c>
      <c r="P200" s="449">
        <f>D200/1000*'2-Données générales'!D88</f>
        <v>0</v>
      </c>
      <c r="Q200" s="442">
        <f>E200*coal_fac_E98/1000</f>
        <v>0</v>
      </c>
      <c r="R200" s="443">
        <f t="shared" si="51"/>
        <v>0</v>
      </c>
      <c r="S200" s="328"/>
      <c r="T200" s="328"/>
      <c r="U200" s="328"/>
      <c r="V200" s="328"/>
    </row>
    <row r="201" spans="1:22">
      <c r="A201" s="747"/>
      <c r="B201" s="85" t="s">
        <v>105</v>
      </c>
      <c r="C201" s="450"/>
      <c r="D201" s="450"/>
      <c r="E201" s="451">
        <f>E155*'2-Données générales'!C71</f>
        <v>347.59320000000008</v>
      </c>
      <c r="F201" s="451">
        <f t="shared" si="52"/>
        <v>347.59320000000008</v>
      </c>
      <c r="G201" s="328"/>
      <c r="H201" s="328"/>
      <c r="I201" s="328"/>
      <c r="J201" s="328"/>
      <c r="K201" s="328"/>
      <c r="L201" s="328"/>
      <c r="M201" s="777"/>
      <c r="N201" s="85" t="s">
        <v>105</v>
      </c>
      <c r="O201" s="452">
        <f>C201/1000*'2-Données générales'!D89</f>
        <v>0</v>
      </c>
      <c r="P201" s="452">
        <f>D201/1000*'2-Données générales'!D89</f>
        <v>0</v>
      </c>
      <c r="Q201" s="453">
        <f>E201*'2-Données générales'!D89/1000</f>
        <v>122.34482025936394</v>
      </c>
      <c r="R201" s="454">
        <f t="shared" si="51"/>
        <v>122.34482025936394</v>
      </c>
      <c r="S201" s="328"/>
      <c r="T201" s="328"/>
      <c r="U201" s="328"/>
      <c r="V201" s="328"/>
    </row>
    <row r="202" spans="1:22">
      <c r="A202" s="754"/>
      <c r="B202" s="86" t="s">
        <v>390</v>
      </c>
      <c r="C202" s="446"/>
      <c r="D202" s="446"/>
      <c r="E202" s="438">
        <f>E152*'2-Données générales'!C70</f>
        <v>22.767441860465119</v>
      </c>
      <c r="F202" s="438">
        <f>SUM(C202:E202)</f>
        <v>22.767441860465119</v>
      </c>
      <c r="G202" s="328"/>
      <c r="H202" s="328"/>
      <c r="I202" s="328"/>
      <c r="J202" s="328"/>
      <c r="K202" s="328"/>
      <c r="L202" s="328"/>
      <c r="M202" s="778"/>
      <c r="N202" s="86" t="s">
        <v>390</v>
      </c>
      <c r="O202" s="447">
        <f>C202*'2-Données générales'!$D$91/1000</f>
        <v>0</v>
      </c>
      <c r="P202" s="447">
        <f>D202*'2-Données générales'!$D$91/1000</f>
        <v>0</v>
      </c>
      <c r="Q202" s="439">
        <f>E202*'2-Données générales'!$D$91/1000</f>
        <v>6.3658678062672003</v>
      </c>
      <c r="R202" s="440">
        <f t="shared" si="51"/>
        <v>6.3658678062672003</v>
      </c>
      <c r="S202" s="328"/>
      <c r="T202" s="328"/>
      <c r="U202" s="328"/>
      <c r="V202" s="328"/>
    </row>
    <row r="203" spans="1:22">
      <c r="A203" s="766" t="s">
        <v>107</v>
      </c>
      <c r="B203" s="84" t="s">
        <v>106</v>
      </c>
      <c r="C203" s="448"/>
      <c r="D203" s="448"/>
      <c r="E203" s="441"/>
      <c r="F203" s="441">
        <f t="shared" si="52"/>
        <v>0</v>
      </c>
      <c r="G203" s="328"/>
      <c r="H203" s="328"/>
      <c r="I203" s="328"/>
      <c r="J203" s="328"/>
      <c r="K203" s="328"/>
      <c r="L203" s="328"/>
      <c r="M203" s="767" t="s">
        <v>4</v>
      </c>
      <c r="N203" s="84" t="s">
        <v>106</v>
      </c>
      <c r="O203" s="449">
        <f>C203/1000*'2-Données générales'!D92</f>
        <v>0</v>
      </c>
      <c r="P203" s="449">
        <f>D203/1000*'2-Données générales'!D92</f>
        <v>0</v>
      </c>
      <c r="Q203" s="442">
        <f>E203*'2-Données générales'!D92/1000</f>
        <v>0</v>
      </c>
      <c r="R203" s="443">
        <f t="shared" si="51"/>
        <v>0</v>
      </c>
      <c r="S203" s="328"/>
      <c r="T203" s="328"/>
      <c r="U203" s="328"/>
      <c r="V203" s="328"/>
    </row>
    <row r="204" spans="1:22">
      <c r="A204" s="766"/>
      <c r="B204" s="85" t="s">
        <v>108</v>
      </c>
      <c r="C204" s="444"/>
      <c r="D204" s="445"/>
      <c r="E204" s="435"/>
      <c r="F204" s="435">
        <f t="shared" si="52"/>
        <v>0</v>
      </c>
      <c r="G204" s="328"/>
      <c r="H204" s="328"/>
      <c r="I204" s="328"/>
      <c r="J204" s="328"/>
      <c r="K204" s="328"/>
      <c r="L204" s="328"/>
      <c r="M204" s="767"/>
      <c r="N204" s="85" t="s">
        <v>108</v>
      </c>
      <c r="O204" s="455">
        <f>C204/1000*'2-Données générales'!D93</f>
        <v>0</v>
      </c>
      <c r="P204" s="456">
        <f>D204/1000*'2-Données générales'!D93</f>
        <v>0</v>
      </c>
      <c r="Q204" s="436">
        <f>E204*'2-Données générales'!D93/1000</f>
        <v>0</v>
      </c>
      <c r="R204" s="437">
        <f t="shared" si="51"/>
        <v>0</v>
      </c>
      <c r="S204" s="328"/>
      <c r="T204" s="328"/>
      <c r="U204" s="328"/>
      <c r="V204" s="328"/>
    </row>
    <row r="205" spans="1:22">
      <c r="A205" s="766"/>
      <c r="B205" s="86" t="s">
        <v>109</v>
      </c>
      <c r="C205" s="438">
        <f>E182*Wood_conv_C52</f>
        <v>0</v>
      </c>
      <c r="D205" s="438">
        <f>E184*Wood_conv_C52</f>
        <v>0</v>
      </c>
      <c r="E205" s="438"/>
      <c r="F205" s="438">
        <f t="shared" si="52"/>
        <v>0</v>
      </c>
      <c r="G205" s="328"/>
      <c r="H205" s="328"/>
      <c r="I205" s="328"/>
      <c r="J205" s="328"/>
      <c r="K205" s="328"/>
      <c r="L205" s="328"/>
      <c r="M205" s="767"/>
      <c r="N205" s="86" t="s">
        <v>109</v>
      </c>
      <c r="O205" s="439">
        <f>C205/1000*'2-Données générales'!D94</f>
        <v>0</v>
      </c>
      <c r="P205" s="439">
        <f>D205/1000*'2-Données générales'!D94</f>
        <v>0</v>
      </c>
      <c r="Q205" s="439">
        <f>E205*'2-Données générales'!D94/1000</f>
        <v>0</v>
      </c>
      <c r="R205" s="440">
        <f t="shared" si="51"/>
        <v>0</v>
      </c>
      <c r="S205" s="328"/>
      <c r="T205" s="328"/>
      <c r="U205" s="328"/>
      <c r="V205" s="328"/>
    </row>
    <row r="206" spans="1:22">
      <c r="A206" s="766"/>
      <c r="B206" s="84" t="s">
        <v>110</v>
      </c>
      <c r="C206" s="441">
        <f>E179</f>
        <v>141.26977625345853</v>
      </c>
      <c r="D206" s="441"/>
      <c r="E206" s="441"/>
      <c r="F206" s="441">
        <f t="shared" si="52"/>
        <v>141.26977625345853</v>
      </c>
      <c r="G206" s="328"/>
      <c r="H206" s="328"/>
      <c r="I206" s="328"/>
      <c r="J206" s="328"/>
      <c r="K206" s="328"/>
      <c r="L206" s="328"/>
      <c r="M206" s="767"/>
      <c r="N206" s="84" t="s">
        <v>110</v>
      </c>
      <c r="O206" s="442">
        <f>C206/1000*'2-Données générales'!D95</f>
        <v>0</v>
      </c>
      <c r="P206" s="442">
        <f>D206/1000*'2-Données générales'!D95</f>
        <v>0</v>
      </c>
      <c r="Q206" s="442">
        <f>E206/1000*'2-Données générales'!D95</f>
        <v>0</v>
      </c>
      <c r="R206" s="443">
        <f t="shared" si="51"/>
        <v>0</v>
      </c>
      <c r="S206" s="328"/>
      <c r="T206" s="328"/>
      <c r="U206" s="328"/>
      <c r="V206" s="328"/>
    </row>
    <row r="207" spans="1:22">
      <c r="A207" s="766"/>
      <c r="B207" s="85" t="s">
        <v>244</v>
      </c>
      <c r="C207" s="435"/>
      <c r="D207" s="435"/>
      <c r="E207" s="435"/>
      <c r="F207" s="435">
        <f t="shared" si="52"/>
        <v>0</v>
      </c>
      <c r="G207" s="328"/>
      <c r="H207" s="328"/>
      <c r="I207" s="328"/>
      <c r="J207" s="328"/>
      <c r="K207" s="328"/>
      <c r="L207" s="328"/>
      <c r="M207" s="767"/>
      <c r="N207" s="85" t="s">
        <v>244</v>
      </c>
      <c r="O207" s="436">
        <f>C207/1000*'2-Données générales'!D96</f>
        <v>0</v>
      </c>
      <c r="P207" s="436">
        <f>D207/1000*'2-Données générales'!D96</f>
        <v>0</v>
      </c>
      <c r="Q207" s="436">
        <f>E207/1000*'2-Données générales'!D96/1000</f>
        <v>0</v>
      </c>
      <c r="R207" s="437">
        <f t="shared" si="51"/>
        <v>0</v>
      </c>
      <c r="S207" s="328"/>
      <c r="T207" s="328"/>
      <c r="U207" s="328"/>
      <c r="V207" s="328"/>
    </row>
    <row r="208" spans="1:22" ht="15.75" thickBot="1">
      <c r="A208" s="756" t="s">
        <v>245</v>
      </c>
      <c r="B208" s="708"/>
      <c r="C208" s="441">
        <f>SUM(C191:C207)</f>
        <v>3214.396742951541</v>
      </c>
      <c r="D208" s="441">
        <f>SUM(D191:D207)</f>
        <v>1786.0289450906471</v>
      </c>
      <c r="E208" s="441">
        <f>SUM(E191:E207)</f>
        <v>6747.2288744186044</v>
      </c>
      <c r="F208" s="441">
        <f t="shared" si="52"/>
        <v>11747.654562460793</v>
      </c>
      <c r="G208" s="328"/>
      <c r="H208" s="328"/>
      <c r="I208" s="328"/>
      <c r="J208" s="328"/>
      <c r="K208" s="328"/>
      <c r="L208" s="328"/>
      <c r="M208" s="762" t="s">
        <v>31</v>
      </c>
      <c r="N208" s="763"/>
      <c r="O208" s="457">
        <f>SUM(O191:O207)</f>
        <v>1257.5894417734626</v>
      </c>
      <c r="P208" s="457">
        <f>SUM(P191:P207)</f>
        <v>1061.6138922982175</v>
      </c>
      <c r="Q208" s="457">
        <f>SUM(Q191:Q207)</f>
        <v>4176.1601716061014</v>
      </c>
      <c r="R208" s="458">
        <f>SUM(R191:R207)</f>
        <v>6495.3635056777803</v>
      </c>
      <c r="S208" s="328"/>
      <c r="T208" s="328"/>
      <c r="U208" s="328"/>
      <c r="V208" s="328"/>
    </row>
    <row r="209" spans="1:22">
      <c r="A209" s="328"/>
      <c r="B209" s="328"/>
      <c r="C209" s="328"/>
      <c r="D209" s="328"/>
      <c r="E209" s="328"/>
      <c r="F209" s="328"/>
      <c r="G209" s="328"/>
      <c r="H209" s="328"/>
      <c r="I209" s="328"/>
      <c r="J209" s="328"/>
      <c r="K209" s="328"/>
      <c r="L209" s="328"/>
      <c r="M209" s="328"/>
      <c r="N209" s="328"/>
      <c r="O209" s="328"/>
      <c r="P209" s="328"/>
      <c r="Q209" s="328"/>
      <c r="R209" s="328"/>
      <c r="S209" s="328"/>
      <c r="T209" s="328"/>
      <c r="U209" s="328"/>
      <c r="V209" s="328"/>
    </row>
    <row r="210" spans="1:22">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row>
    <row r="211" spans="1:22">
      <c r="A211" s="328"/>
      <c r="B211" s="328"/>
      <c r="C211" s="328"/>
      <c r="D211" s="328"/>
      <c r="E211" s="328"/>
      <c r="F211" s="328"/>
      <c r="G211" s="328"/>
      <c r="H211" s="328"/>
      <c r="I211" s="328"/>
      <c r="J211" s="328"/>
      <c r="K211" s="328"/>
      <c r="L211" s="328"/>
      <c r="M211" s="328"/>
      <c r="N211" s="328"/>
      <c r="O211" s="328"/>
      <c r="P211" s="328"/>
      <c r="Q211" s="328"/>
      <c r="R211" s="328"/>
      <c r="S211" s="328"/>
      <c r="T211" s="328"/>
      <c r="U211" s="328"/>
      <c r="V211" s="328"/>
    </row>
    <row r="212" spans="1:22">
      <c r="A212" s="328"/>
      <c r="B212" s="328"/>
      <c r="C212" s="328"/>
      <c r="D212" s="328"/>
      <c r="E212" s="328"/>
      <c r="F212" s="328"/>
      <c r="G212" s="328"/>
      <c r="H212" s="328"/>
      <c r="I212" s="328"/>
      <c r="J212" s="328"/>
      <c r="K212" s="328"/>
      <c r="L212" s="328"/>
      <c r="M212" s="328"/>
      <c r="N212" s="328"/>
      <c r="O212" s="328"/>
      <c r="P212" s="328"/>
      <c r="Q212" s="328"/>
      <c r="R212" s="328"/>
      <c r="S212" s="328"/>
      <c r="T212" s="328"/>
      <c r="U212" s="328"/>
      <c r="V212" s="328"/>
    </row>
    <row r="213" spans="1:22">
      <c r="A213" s="328"/>
      <c r="B213" s="328"/>
      <c r="C213" s="328"/>
      <c r="D213" s="328"/>
      <c r="E213" s="328"/>
      <c r="F213" s="328"/>
      <c r="G213" s="328"/>
      <c r="H213" s="328"/>
      <c r="I213" s="328"/>
      <c r="J213" s="328"/>
      <c r="K213" s="328"/>
      <c r="L213" s="328"/>
      <c r="M213" s="328"/>
      <c r="N213" s="328"/>
      <c r="O213" s="328"/>
      <c r="P213" s="328"/>
      <c r="Q213" s="328"/>
      <c r="R213" s="328"/>
      <c r="S213" s="328"/>
      <c r="T213" s="328"/>
      <c r="U213" s="328"/>
      <c r="V213" s="328"/>
    </row>
    <row r="214" spans="1:22">
      <c r="A214" s="12"/>
      <c r="B214" s="12"/>
      <c r="C214" s="12"/>
      <c r="D214" s="12"/>
      <c r="E214" s="12"/>
      <c r="F214" s="12"/>
      <c r="G214" s="12"/>
      <c r="H214" s="12"/>
      <c r="I214" s="12"/>
      <c r="J214" s="12"/>
      <c r="K214" s="12"/>
      <c r="L214" s="12"/>
      <c r="M214" s="12"/>
      <c r="N214" s="12"/>
      <c r="O214" s="12"/>
      <c r="P214" s="12"/>
      <c r="Q214" s="12"/>
      <c r="R214" s="12"/>
      <c r="S214" s="12"/>
      <c r="T214" s="12"/>
      <c r="U214" s="12"/>
      <c r="V214" s="12"/>
    </row>
  </sheetData>
  <sheetProtection password="CC6F" sheet="1" objects="1" scenarios="1"/>
  <mergeCells count="162">
    <mergeCell ref="K21:K29"/>
    <mergeCell ref="K85:K95"/>
    <mergeCell ref="A134:H134"/>
    <mergeCell ref="M189:R189"/>
    <mergeCell ref="A97:J97"/>
    <mergeCell ref="M97:V97"/>
    <mergeCell ref="A112:I112"/>
    <mergeCell ref="X97:AG97"/>
    <mergeCell ref="A167:A172"/>
    <mergeCell ref="E167:E169"/>
    <mergeCell ref="M167:M169"/>
    <mergeCell ref="N167:N169"/>
    <mergeCell ref="O167:O169"/>
    <mergeCell ref="P167:P169"/>
    <mergeCell ref="E170:E172"/>
    <mergeCell ref="M170:M172"/>
    <mergeCell ref="N170:N172"/>
    <mergeCell ref="O170:O172"/>
    <mergeCell ref="P170:P172"/>
    <mergeCell ref="O146:O148"/>
    <mergeCell ref="N146:N148"/>
    <mergeCell ref="P149:P151"/>
    <mergeCell ref="O149:O151"/>
    <mergeCell ref="P143:P145"/>
    <mergeCell ref="N143:N145"/>
    <mergeCell ref="P137:P138"/>
    <mergeCell ref="A137:A142"/>
    <mergeCell ref="A173:A175"/>
    <mergeCell ref="E173:E175"/>
    <mergeCell ref="M173:M175"/>
    <mergeCell ref="N173:N175"/>
    <mergeCell ref="O173:O175"/>
    <mergeCell ref="P173:P175"/>
    <mergeCell ref="A158:A166"/>
    <mergeCell ref="P158:P160"/>
    <mergeCell ref="O158:O160"/>
    <mergeCell ref="N158:N160"/>
    <mergeCell ref="P146:P148"/>
    <mergeCell ref="P141:P142"/>
    <mergeCell ref="O141:O142"/>
    <mergeCell ref="P139:P140"/>
    <mergeCell ref="E137:E138"/>
    <mergeCell ref="E139:E140"/>
    <mergeCell ref="E141:E142"/>
    <mergeCell ref="O139:O140"/>
    <mergeCell ref="N139:N140"/>
    <mergeCell ref="M139:M140"/>
    <mergeCell ref="A152:A154"/>
    <mergeCell ref="N182:N183"/>
    <mergeCell ref="O182:O183"/>
    <mergeCell ref="P182:P183"/>
    <mergeCell ref="N149:N151"/>
    <mergeCell ref="E164:E166"/>
    <mergeCell ref="M164:M166"/>
    <mergeCell ref="N164:N166"/>
    <mergeCell ref="O164:O166"/>
    <mergeCell ref="P164:P166"/>
    <mergeCell ref="E161:E163"/>
    <mergeCell ref="M161:M163"/>
    <mergeCell ref="N161:N163"/>
    <mergeCell ref="O161:O163"/>
    <mergeCell ref="P161:P163"/>
    <mergeCell ref="P152:P154"/>
    <mergeCell ref="O152:O154"/>
    <mergeCell ref="N152:N154"/>
    <mergeCell ref="P155:P157"/>
    <mergeCell ref="O155:O157"/>
    <mergeCell ref="N155:N157"/>
    <mergeCell ref="P176:P178"/>
    <mergeCell ref="O176:O178"/>
    <mergeCell ref="N176:N178"/>
    <mergeCell ref="G176:G178"/>
    <mergeCell ref="A1:V1"/>
    <mergeCell ref="B135:B136"/>
    <mergeCell ref="F135:F136"/>
    <mergeCell ref="G135:G136"/>
    <mergeCell ref="H135:H136"/>
    <mergeCell ref="A135:A136"/>
    <mergeCell ref="C135:C136"/>
    <mergeCell ref="D135:D136"/>
    <mergeCell ref="M135:P135"/>
    <mergeCell ref="E135:E136"/>
    <mergeCell ref="A7:E7"/>
    <mergeCell ref="A37:B37"/>
    <mergeCell ref="A65:B65"/>
    <mergeCell ref="A19:I19"/>
    <mergeCell ref="L19:T19"/>
    <mergeCell ref="D34:K34"/>
    <mergeCell ref="A57:C57"/>
    <mergeCell ref="A62:B62"/>
    <mergeCell ref="A34:C35"/>
    <mergeCell ref="D37:J37"/>
    <mergeCell ref="A48:H48"/>
    <mergeCell ref="J48:Q48"/>
    <mergeCell ref="A83:J83"/>
    <mergeCell ref="K9:K17"/>
    <mergeCell ref="E152:E154"/>
    <mergeCell ref="A143:A151"/>
    <mergeCell ref="E179:E181"/>
    <mergeCell ref="A155:A157"/>
    <mergeCell ref="E155:E157"/>
    <mergeCell ref="M184:M185"/>
    <mergeCell ref="A176:A178"/>
    <mergeCell ref="E176:E178"/>
    <mergeCell ref="M176:M178"/>
    <mergeCell ref="A179:A185"/>
    <mergeCell ref="M152:M154"/>
    <mergeCell ref="G161:G163"/>
    <mergeCell ref="G164:G166"/>
    <mergeCell ref="G167:G169"/>
    <mergeCell ref="G170:G172"/>
    <mergeCell ref="G173:G175"/>
    <mergeCell ref="E182:E183"/>
    <mergeCell ref="M182:M183"/>
    <mergeCell ref="A208:B208"/>
    <mergeCell ref="A189:F189"/>
    <mergeCell ref="M179:M181"/>
    <mergeCell ref="N179:N181"/>
    <mergeCell ref="O179:O181"/>
    <mergeCell ref="M190:N190"/>
    <mergeCell ref="M208:N208"/>
    <mergeCell ref="P179:P181"/>
    <mergeCell ref="A191:B191"/>
    <mergeCell ref="A192:B192"/>
    <mergeCell ref="A203:A207"/>
    <mergeCell ref="M203:M207"/>
    <mergeCell ref="M191:N191"/>
    <mergeCell ref="M192:N192"/>
    <mergeCell ref="O184:O185"/>
    <mergeCell ref="E184:E185"/>
    <mergeCell ref="N184:N185"/>
    <mergeCell ref="P184:P185"/>
    <mergeCell ref="G179:G181"/>
    <mergeCell ref="G182:G183"/>
    <mergeCell ref="G184:G185"/>
    <mergeCell ref="A190:B190"/>
    <mergeCell ref="A193:A202"/>
    <mergeCell ref="M193:M202"/>
    <mergeCell ref="O137:O138"/>
    <mergeCell ref="N141:N142"/>
    <mergeCell ref="M141:M142"/>
    <mergeCell ref="N137:N138"/>
    <mergeCell ref="M137:M138"/>
    <mergeCell ref="M155:M157"/>
    <mergeCell ref="E158:E160"/>
    <mergeCell ref="M149:M151"/>
    <mergeCell ref="M158:M160"/>
    <mergeCell ref="M143:M145"/>
    <mergeCell ref="M146:M148"/>
    <mergeCell ref="G137:G138"/>
    <mergeCell ref="G139:G140"/>
    <mergeCell ref="G141:G142"/>
    <mergeCell ref="G143:G145"/>
    <mergeCell ref="G146:G148"/>
    <mergeCell ref="G149:G151"/>
    <mergeCell ref="G152:G154"/>
    <mergeCell ref="G155:G157"/>
    <mergeCell ref="G158:G160"/>
    <mergeCell ref="E143:E145"/>
    <mergeCell ref="E146:E148"/>
    <mergeCell ref="E149:E151"/>
    <mergeCell ref="O143:O145"/>
  </mergeCells>
  <dataValidations disablePrompts="1" count="1">
    <dataValidation type="list" allowBlank="1" showInputMessage="1" showErrorMessage="1" sqref="B6 B36 B63:B64">
      <formula1>"oui,non"</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sheetPr>
    <tabColor theme="9" tint="0.499984740745262"/>
  </sheetPr>
  <dimension ref="A1:Y70"/>
  <sheetViews>
    <sheetView zoomScale="70" zoomScaleNormal="70" workbookViewId="0">
      <selection activeCell="J11" sqref="J11"/>
    </sheetView>
  </sheetViews>
  <sheetFormatPr baseColWidth="10" defaultColWidth="8.7109375" defaultRowHeight="15"/>
  <cols>
    <col min="1" max="1" width="28.5703125" customWidth="1"/>
    <col min="2" max="2" width="36.140625" customWidth="1"/>
    <col min="3" max="3" width="23.7109375" customWidth="1"/>
    <col min="4" max="4" width="29" customWidth="1"/>
    <col min="5" max="5" width="22" customWidth="1"/>
    <col min="6" max="6" width="13" customWidth="1"/>
    <col min="7" max="7" width="12.42578125" customWidth="1"/>
    <col min="8" max="8" width="23.7109375" customWidth="1"/>
    <col min="9" max="11" width="23.140625" customWidth="1"/>
    <col min="12" max="12" width="21" customWidth="1"/>
    <col min="13" max="13" width="21.140625" customWidth="1"/>
    <col min="14" max="14" width="21.85546875" customWidth="1"/>
    <col min="15" max="15" width="22.28515625" customWidth="1"/>
    <col min="16" max="16" width="23.42578125" customWidth="1"/>
    <col min="17" max="17" width="23" customWidth="1"/>
    <col min="18" max="18" width="15.85546875" customWidth="1"/>
    <col min="19" max="19" width="20.42578125" customWidth="1"/>
  </cols>
  <sheetData>
    <row r="1" spans="1:25" ht="45" customHeight="1">
      <c r="A1" s="709" t="s">
        <v>32</v>
      </c>
      <c r="B1" s="709"/>
      <c r="C1" s="709"/>
      <c r="D1" s="709"/>
      <c r="E1" s="709"/>
      <c r="F1" s="709"/>
      <c r="G1" s="709"/>
      <c r="H1" s="709"/>
      <c r="I1" s="709"/>
      <c r="J1" s="709"/>
      <c r="K1" s="709"/>
      <c r="L1" s="709"/>
      <c r="M1" s="709"/>
      <c r="N1" s="709"/>
      <c r="O1" s="709"/>
      <c r="P1" s="709"/>
      <c r="Q1" s="709"/>
      <c r="R1" s="709"/>
      <c r="S1" s="709"/>
      <c r="T1" s="709"/>
      <c r="U1" s="709"/>
      <c r="V1" s="709"/>
      <c r="W1" s="1"/>
      <c r="X1" s="1"/>
      <c r="Y1" s="1"/>
    </row>
    <row r="2" spans="1:25" ht="5.25" customHeight="1">
      <c r="A2" s="11"/>
      <c r="B2" s="11"/>
      <c r="C2" s="11"/>
      <c r="D2" s="11"/>
      <c r="E2" s="11"/>
      <c r="F2" s="11"/>
      <c r="G2" s="11"/>
      <c r="H2" s="11"/>
      <c r="I2" s="11"/>
      <c r="J2" s="11"/>
      <c r="K2" s="11"/>
      <c r="L2" s="11"/>
      <c r="M2" s="11"/>
      <c r="N2" s="14"/>
      <c r="O2" s="11"/>
      <c r="P2" s="11"/>
      <c r="Q2" s="11"/>
      <c r="R2" s="11"/>
      <c r="S2" s="11"/>
      <c r="T2" s="11"/>
      <c r="U2" s="11"/>
      <c r="V2" s="11"/>
      <c r="W2" s="1"/>
      <c r="X2" s="1"/>
      <c r="Y2" s="1"/>
    </row>
    <row r="3" spans="1:25" ht="15.75" thickBot="1">
      <c r="A3" s="297"/>
      <c r="B3" s="297"/>
      <c r="C3" s="297"/>
      <c r="D3" s="297"/>
      <c r="E3" s="297"/>
      <c r="F3" s="297"/>
      <c r="G3" s="297"/>
      <c r="H3" s="297"/>
      <c r="I3" s="297"/>
      <c r="J3" s="297"/>
      <c r="K3" s="297"/>
      <c r="L3" s="297"/>
      <c r="M3" s="297"/>
      <c r="N3" s="328"/>
      <c r="O3" s="297"/>
      <c r="P3" s="297"/>
      <c r="Q3" s="297"/>
      <c r="R3" s="297"/>
      <c r="S3" s="297"/>
      <c r="T3" s="297"/>
      <c r="U3" s="297"/>
      <c r="V3" s="297"/>
      <c r="W3" s="1"/>
      <c r="X3" s="1"/>
      <c r="Y3" s="1"/>
    </row>
    <row r="4" spans="1:25" s="76" customFormat="1" ht="73.5" customHeight="1" thickBot="1">
      <c r="A4" s="580" t="s">
        <v>386</v>
      </c>
      <c r="B4" s="579" t="s">
        <v>363</v>
      </c>
      <c r="C4" s="297"/>
      <c r="D4" s="297"/>
      <c r="E4" s="297"/>
      <c r="F4" s="297"/>
      <c r="G4" s="297"/>
      <c r="H4" s="297"/>
      <c r="I4" s="297"/>
      <c r="J4" s="297"/>
      <c r="K4" s="297"/>
      <c r="L4" s="297"/>
      <c r="M4" s="297"/>
      <c r="N4" s="328"/>
      <c r="O4" s="297"/>
      <c r="P4" s="297"/>
      <c r="Q4" s="297"/>
      <c r="R4" s="297"/>
      <c r="S4" s="297"/>
      <c r="T4" s="297"/>
      <c r="U4" s="297"/>
      <c r="V4" s="297"/>
      <c r="W4" s="77"/>
      <c r="X4" s="77"/>
      <c r="Y4" s="77"/>
    </row>
    <row r="5" spans="1:25" s="76" customFormat="1" ht="89.25" customHeight="1">
      <c r="A5" s="580" t="s">
        <v>387</v>
      </c>
      <c r="B5" s="579" t="s">
        <v>363</v>
      </c>
      <c r="C5" s="297"/>
      <c r="D5" s="297"/>
      <c r="E5" s="297"/>
      <c r="F5" s="297"/>
      <c r="G5" s="297"/>
      <c r="H5" s="297"/>
      <c r="I5" s="297"/>
      <c r="J5" s="297"/>
      <c r="K5" s="297"/>
      <c r="L5" s="297"/>
      <c r="M5" s="297"/>
      <c r="N5" s="328"/>
      <c r="O5" s="297"/>
      <c r="P5" s="297"/>
      <c r="Q5" s="297"/>
      <c r="R5" s="297"/>
      <c r="S5" s="297"/>
      <c r="T5" s="297"/>
      <c r="U5" s="297"/>
      <c r="V5" s="297"/>
      <c r="W5" s="77"/>
      <c r="X5" s="77"/>
      <c r="Y5" s="77"/>
    </row>
    <row r="6" spans="1:25" ht="15.75" customHeight="1">
      <c r="A6" s="800" t="s">
        <v>332</v>
      </c>
      <c r="B6" s="800"/>
      <c r="C6" s="800"/>
      <c r="D6" s="800"/>
      <c r="E6" s="221"/>
      <c r="F6" s="221"/>
      <c r="G6" s="221"/>
      <c r="H6" s="221"/>
      <c r="I6" s="221"/>
      <c r="J6" s="221"/>
      <c r="K6" s="221"/>
      <c r="L6" s="221"/>
      <c r="M6" s="221"/>
      <c r="N6" s="329"/>
      <c r="O6" s="221"/>
      <c r="P6" s="221"/>
      <c r="Q6" s="221"/>
      <c r="R6" s="253"/>
      <c r="S6" s="253"/>
      <c r="T6" s="253"/>
      <c r="U6" s="253"/>
      <c r="V6" s="253"/>
      <c r="W6" s="1"/>
      <c r="X6" s="1"/>
      <c r="Y6" s="1"/>
    </row>
    <row r="7" spans="1:25" ht="15" customHeight="1">
      <c r="A7" s="854"/>
      <c r="B7" s="854"/>
      <c r="C7" s="854"/>
      <c r="D7" s="854"/>
      <c r="E7" s="297"/>
      <c r="F7" s="297"/>
      <c r="G7" s="297"/>
      <c r="H7" s="297"/>
      <c r="I7" s="297"/>
      <c r="J7" s="297"/>
      <c r="K7" s="297"/>
      <c r="L7" s="297"/>
      <c r="M7" s="297"/>
      <c r="N7" s="297"/>
      <c r="O7" s="297"/>
      <c r="P7" s="297"/>
      <c r="Q7" s="297"/>
      <c r="R7" s="297"/>
      <c r="S7" s="297"/>
      <c r="T7" s="297"/>
      <c r="U7" s="297"/>
      <c r="V7" s="297"/>
      <c r="W7" s="1"/>
      <c r="X7" s="1"/>
      <c r="Y7" s="1"/>
    </row>
    <row r="8" spans="1:25" s="42" customFormat="1" ht="18.75">
      <c r="A8" s="793"/>
      <c r="B8" s="793"/>
      <c r="C8" s="793"/>
      <c r="D8" s="793"/>
      <c r="E8" s="297"/>
      <c r="F8" s="297"/>
      <c r="G8" s="297"/>
      <c r="H8" s="297"/>
      <c r="I8" s="297"/>
      <c r="J8" s="297"/>
      <c r="K8" s="297"/>
      <c r="L8" s="297"/>
      <c r="M8" s="297"/>
      <c r="N8" s="297"/>
      <c r="O8" s="297"/>
      <c r="P8" s="297"/>
      <c r="Q8" s="297"/>
      <c r="R8" s="297"/>
      <c r="S8" s="297"/>
      <c r="T8" s="297"/>
      <c r="U8" s="297"/>
      <c r="V8" s="297"/>
      <c r="W8" s="43"/>
      <c r="X8" s="43"/>
      <c r="Y8" s="43"/>
    </row>
    <row r="9" spans="1:25" s="42" customFormat="1" ht="47.25">
      <c r="A9" s="466"/>
      <c r="B9" s="467" t="s">
        <v>178</v>
      </c>
      <c r="C9" s="468" t="s">
        <v>179</v>
      </c>
      <c r="D9" s="468" t="s">
        <v>372</v>
      </c>
      <c r="E9" s="297"/>
      <c r="F9" s="297"/>
      <c r="G9" s="297"/>
      <c r="H9" s="297"/>
      <c r="I9" s="297"/>
      <c r="J9" s="297"/>
      <c r="K9" s="297"/>
      <c r="L9" s="297"/>
      <c r="M9" s="297"/>
      <c r="N9" s="297"/>
      <c r="O9" s="297"/>
      <c r="P9" s="297"/>
      <c r="Q9" s="297"/>
      <c r="R9" s="297"/>
      <c r="S9" s="297"/>
      <c r="T9" s="297"/>
      <c r="U9" s="297"/>
      <c r="V9" s="297"/>
      <c r="W9" s="43"/>
      <c r="X9" s="43"/>
      <c r="Y9" s="43"/>
    </row>
    <row r="10" spans="1:25" s="42" customFormat="1">
      <c r="A10" s="469" t="s">
        <v>180</v>
      </c>
      <c r="B10" s="155">
        <v>96</v>
      </c>
      <c r="C10" s="470">
        <v>38800</v>
      </c>
      <c r="D10" s="471">
        <v>11.5</v>
      </c>
      <c r="E10" s="297"/>
      <c r="F10" s="297"/>
      <c r="G10" s="297"/>
      <c r="H10" s="297"/>
      <c r="I10" s="297"/>
      <c r="J10" s="297"/>
      <c r="K10" s="297"/>
      <c r="L10" s="297"/>
      <c r="M10" s="297"/>
      <c r="N10" s="297"/>
      <c r="O10" s="297"/>
      <c r="P10" s="297"/>
      <c r="Q10" s="297"/>
      <c r="R10" s="297"/>
      <c r="S10" s="297"/>
      <c r="T10" s="297"/>
      <c r="U10" s="297"/>
      <c r="V10" s="297"/>
      <c r="W10" s="43"/>
      <c r="X10" s="43"/>
      <c r="Y10" s="43"/>
    </row>
    <row r="11" spans="1:25" s="42" customFormat="1">
      <c r="A11" s="472" t="s">
        <v>181</v>
      </c>
      <c r="B11" s="155">
        <v>32</v>
      </c>
      <c r="C11" s="470">
        <v>67800</v>
      </c>
      <c r="D11" s="471">
        <v>13.6</v>
      </c>
      <c r="E11" s="297"/>
      <c r="F11" s="297"/>
      <c r="G11" s="297"/>
      <c r="H11" s="297"/>
      <c r="I11" s="297"/>
      <c r="J11" s="297"/>
      <c r="K11" s="297"/>
      <c r="L11" s="297"/>
      <c r="M11" s="297"/>
      <c r="N11" s="297"/>
      <c r="O11" s="297"/>
      <c r="P11" s="297"/>
      <c r="Q11" s="297"/>
      <c r="R11" s="297"/>
      <c r="S11" s="297"/>
      <c r="T11" s="297"/>
      <c r="U11" s="297"/>
      <c r="V11" s="297"/>
      <c r="W11" s="43"/>
      <c r="X11" s="43"/>
      <c r="Y11" s="43"/>
    </row>
    <row r="12" spans="1:25" s="42" customFormat="1">
      <c r="A12" s="473" t="s">
        <v>182</v>
      </c>
      <c r="B12" s="155">
        <v>18</v>
      </c>
      <c r="C12" s="470">
        <v>66000</v>
      </c>
      <c r="D12" s="471">
        <v>20</v>
      </c>
      <c r="E12" s="297"/>
      <c r="F12" s="297"/>
      <c r="G12" s="297"/>
      <c r="H12" s="297"/>
      <c r="I12" s="297"/>
      <c r="J12" s="297"/>
      <c r="K12" s="297"/>
      <c r="L12" s="297"/>
      <c r="M12" s="297"/>
      <c r="N12" s="297"/>
      <c r="O12" s="297"/>
      <c r="P12" s="297"/>
      <c r="Q12" s="297"/>
      <c r="R12" s="297"/>
      <c r="S12" s="297"/>
      <c r="T12" s="297"/>
      <c r="U12" s="297"/>
      <c r="V12" s="297"/>
      <c r="W12" s="43"/>
      <c r="X12" s="43"/>
      <c r="Y12" s="43"/>
    </row>
    <row r="13" spans="1:25" s="42" customFormat="1" ht="53.25" customHeight="1">
      <c r="A13" s="297"/>
      <c r="B13" s="297"/>
      <c r="C13" s="855" t="s">
        <v>377</v>
      </c>
      <c r="D13" s="855"/>
      <c r="E13" s="297"/>
      <c r="F13" s="297"/>
      <c r="G13" s="297"/>
      <c r="H13" s="297"/>
      <c r="I13" s="297"/>
      <c r="J13" s="297"/>
      <c r="K13" s="297"/>
      <c r="L13" s="297"/>
      <c r="M13" s="297"/>
      <c r="N13" s="297"/>
      <c r="O13" s="297"/>
      <c r="P13" s="297"/>
      <c r="Q13" s="297"/>
      <c r="R13" s="297"/>
      <c r="S13" s="297"/>
      <c r="T13" s="297"/>
      <c r="U13" s="297"/>
      <c r="V13" s="297"/>
      <c r="W13" s="43"/>
      <c r="X13" s="43"/>
      <c r="Y13" s="43"/>
    </row>
    <row r="14" spans="1:25" s="42" customFormat="1" ht="15" customHeight="1">
      <c r="A14" s="297"/>
      <c r="B14" s="297"/>
      <c r="C14" s="297"/>
      <c r="D14" s="297"/>
      <c r="E14" s="297"/>
      <c r="F14" s="297"/>
      <c r="G14" s="297"/>
      <c r="H14" s="297"/>
      <c r="I14" s="297"/>
      <c r="J14" s="297"/>
      <c r="K14" s="297"/>
      <c r="L14" s="297"/>
      <c r="M14" s="297"/>
      <c r="N14" s="297"/>
      <c r="O14" s="297"/>
      <c r="P14" s="297"/>
      <c r="Q14" s="297"/>
      <c r="R14" s="297"/>
      <c r="S14" s="297"/>
      <c r="T14" s="297"/>
      <c r="U14" s="297"/>
      <c r="V14" s="297"/>
      <c r="W14" s="43"/>
      <c r="X14" s="43"/>
      <c r="Y14" s="43"/>
    </row>
    <row r="15" spans="1:25" s="76" customFormat="1" ht="15.75">
      <c r="A15" s="18" t="s">
        <v>183</v>
      </c>
      <c r="B15" s="220"/>
      <c r="C15" s="221"/>
      <c r="D15" s="221"/>
      <c r="E15" s="221"/>
      <c r="F15" s="221"/>
      <c r="G15" s="221"/>
      <c r="H15" s="221"/>
      <c r="I15" s="221"/>
      <c r="J15" s="221"/>
      <c r="K15" s="221"/>
      <c r="L15" s="221"/>
      <c r="M15" s="221"/>
      <c r="N15" s="329"/>
      <c r="O15" s="221"/>
      <c r="P15" s="221"/>
      <c r="Q15" s="221"/>
      <c r="R15" s="253"/>
      <c r="S15" s="253"/>
      <c r="T15" s="253"/>
      <c r="U15" s="253"/>
      <c r="V15" s="253"/>
      <c r="W15" s="77"/>
      <c r="X15" s="77"/>
      <c r="Y15" s="77"/>
    </row>
    <row r="16" spans="1:25" s="76" customFormat="1">
      <c r="A16" s="330" t="s">
        <v>184</v>
      </c>
      <c r="B16" s="330"/>
      <c r="C16" s="330"/>
      <c r="D16" s="330"/>
      <c r="E16" s="297"/>
      <c r="F16" s="297"/>
      <c r="G16" s="297"/>
      <c r="H16" s="297"/>
      <c r="I16" s="297"/>
      <c r="J16" s="297"/>
      <c r="K16" s="297"/>
      <c r="L16" s="297"/>
      <c r="M16" s="297"/>
      <c r="N16" s="297"/>
      <c r="O16" s="297"/>
      <c r="P16" s="297"/>
      <c r="Q16" s="297"/>
      <c r="R16" s="297"/>
      <c r="S16" s="297"/>
      <c r="T16" s="297"/>
      <c r="U16" s="297"/>
      <c r="V16" s="297"/>
      <c r="W16" s="77"/>
      <c r="X16" s="77"/>
      <c r="Y16" s="77"/>
    </row>
    <row r="17" spans="1:25" s="42" customFormat="1">
      <c r="A17" s="297"/>
      <c r="B17" s="297"/>
      <c r="C17" s="297"/>
      <c r="D17" s="297"/>
      <c r="E17" s="297"/>
      <c r="F17" s="297"/>
      <c r="G17" s="297"/>
      <c r="H17" s="297"/>
      <c r="I17" s="297"/>
      <c r="J17" s="297"/>
      <c r="K17" s="297"/>
      <c r="L17" s="297"/>
      <c r="M17" s="297"/>
      <c r="N17" s="297"/>
      <c r="O17" s="297"/>
      <c r="P17" s="297"/>
      <c r="Q17" s="297"/>
      <c r="R17" s="297"/>
      <c r="S17" s="297"/>
      <c r="T17" s="297"/>
      <c r="U17" s="297"/>
      <c r="V17" s="297"/>
      <c r="W17" s="43"/>
      <c r="X17" s="43"/>
      <c r="Y17" s="43"/>
    </row>
    <row r="18" spans="1:25" ht="18.75" customHeight="1">
      <c r="A18" s="790" t="s">
        <v>6</v>
      </c>
      <c r="B18" s="790" t="s">
        <v>7</v>
      </c>
      <c r="C18" s="853" t="s">
        <v>185</v>
      </c>
      <c r="D18" s="790" t="s">
        <v>373</v>
      </c>
      <c r="E18" s="790" t="s">
        <v>187</v>
      </c>
      <c r="F18" s="790" t="s">
        <v>93</v>
      </c>
      <c r="G18" s="790" t="s">
        <v>89</v>
      </c>
      <c r="H18" s="790" t="s">
        <v>188</v>
      </c>
      <c r="I18" s="297"/>
      <c r="J18" s="297"/>
      <c r="K18" s="297"/>
      <c r="L18" s="858" t="s">
        <v>255</v>
      </c>
      <c r="M18" s="858"/>
      <c r="N18" s="858"/>
      <c r="O18" s="858"/>
      <c r="P18" s="297"/>
      <c r="Q18" s="297"/>
      <c r="R18" s="297"/>
      <c r="S18" s="297"/>
      <c r="T18" s="297"/>
      <c r="U18" s="297"/>
      <c r="V18" s="297"/>
      <c r="W18" s="1"/>
      <c r="X18" s="1"/>
      <c r="Y18" s="1"/>
    </row>
    <row r="19" spans="1:25">
      <c r="A19" s="790"/>
      <c r="B19" s="790"/>
      <c r="C19" s="790"/>
      <c r="D19" s="790"/>
      <c r="E19" s="790"/>
      <c r="F19" s="790"/>
      <c r="G19" s="790"/>
      <c r="H19" s="790"/>
      <c r="I19" s="297"/>
      <c r="J19" s="297"/>
      <c r="K19" s="297"/>
      <c r="L19" s="474"/>
      <c r="M19" s="231" t="s">
        <v>252</v>
      </c>
      <c r="N19" s="231" t="s">
        <v>253</v>
      </c>
      <c r="O19" s="231" t="s">
        <v>254</v>
      </c>
      <c r="P19" s="297"/>
      <c r="Q19" s="297"/>
      <c r="R19" s="297"/>
      <c r="S19" s="297"/>
      <c r="T19" s="297"/>
      <c r="U19" s="297"/>
      <c r="V19" s="297"/>
      <c r="W19" s="1"/>
      <c r="X19" s="1"/>
      <c r="Y19" s="1"/>
    </row>
    <row r="20" spans="1:25" s="76" customFormat="1" ht="96.75" customHeight="1">
      <c r="A20" s="839" t="s">
        <v>380</v>
      </c>
      <c r="B20" s="475" t="s">
        <v>378</v>
      </c>
      <c r="C20" s="476" t="s">
        <v>68</v>
      </c>
      <c r="D20" s="582" t="str">
        <f>IF(B5="oui", "si vous avez répondu oui à la consommation d'électricité dans le transport communal, veuillez insérer la valeur dans cette cellule directement",0)</f>
        <v>si vous avez répondu oui à la consommation d'électricité dans le transport communal, veuillez insérer la valeur dans cette cellule directement</v>
      </c>
      <c r="E20" s="773"/>
      <c r="F20" s="477" t="s">
        <v>21</v>
      </c>
      <c r="G20" s="478">
        <f>'2-Données générales'!$C$7</f>
        <v>2013</v>
      </c>
      <c r="H20" s="586" t="s">
        <v>379</v>
      </c>
      <c r="I20" s="297"/>
      <c r="J20" s="297"/>
      <c r="K20" s="297"/>
      <c r="L20" s="838">
        <f>D34/'2-Données générales'!C56</f>
        <v>0</v>
      </c>
      <c r="M20" s="838">
        <v>0</v>
      </c>
      <c r="N20" s="838">
        <v>0</v>
      </c>
      <c r="O20" s="838">
        <v>0</v>
      </c>
      <c r="P20" s="297"/>
      <c r="Q20" s="297"/>
      <c r="R20" s="297"/>
      <c r="S20" s="297"/>
      <c r="T20" s="297"/>
      <c r="U20" s="297"/>
      <c r="V20" s="297"/>
      <c r="W20" s="77"/>
      <c r="X20" s="77"/>
      <c r="Y20" s="77"/>
    </row>
    <row r="21" spans="1:25" s="76" customFormat="1" ht="47.25" customHeight="1">
      <c r="A21" s="839"/>
      <c r="B21" s="475" t="s">
        <v>381</v>
      </c>
      <c r="C21" s="479" t="s">
        <v>68</v>
      </c>
      <c r="D21" s="480">
        <f>'2-Données générales'!F31*mun_population_E22/Tun_pop</f>
        <v>29.562419426351681</v>
      </c>
      <c r="E21" s="840"/>
      <c r="F21" s="585" t="s">
        <v>21</v>
      </c>
      <c r="G21" s="478">
        <f>'2-Données générales'!$C$7</f>
        <v>2013</v>
      </c>
      <c r="H21" s="481"/>
      <c r="I21" s="297"/>
      <c r="J21" s="297"/>
      <c r="K21" s="297"/>
      <c r="L21" s="838"/>
      <c r="M21" s="838"/>
      <c r="N21" s="838"/>
      <c r="O21" s="838"/>
      <c r="P21" s="297"/>
      <c r="Q21" s="297"/>
      <c r="R21" s="297"/>
      <c r="S21" s="297"/>
      <c r="T21" s="297"/>
      <c r="U21" s="297"/>
      <c r="V21" s="297"/>
      <c r="W21" s="77"/>
      <c r="X21" s="77"/>
      <c r="Y21" s="77"/>
    </row>
    <row r="22" spans="1:25" ht="29.25" customHeight="1">
      <c r="A22" s="844" t="s">
        <v>417</v>
      </c>
      <c r="B22" s="482" t="s">
        <v>414</v>
      </c>
      <c r="C22" s="483" t="s">
        <v>68</v>
      </c>
      <c r="D22" s="480">
        <f>( (Transp_Diesel_L13*mun_population_E22/Tunisia_population_E24)    -   '3-Commune'!D31-'3-Commune'!E31 )</f>
        <v>4839.1574250691137</v>
      </c>
      <c r="E22" s="859">
        <f>D24</f>
        <v>3650</v>
      </c>
      <c r="F22" s="484" t="s">
        <v>335</v>
      </c>
      <c r="G22" s="478">
        <f>'2-Données générales'!$C$7</f>
        <v>2013</v>
      </c>
      <c r="H22" s="481"/>
      <c r="I22" s="297"/>
      <c r="J22" s="297"/>
      <c r="K22" s="297"/>
      <c r="L22" s="864">
        <f>F39/'2-Données générales'!C56</f>
        <v>1.0644703515288546E-2</v>
      </c>
      <c r="M22" s="861">
        <f>(2117+77452)/55910</f>
        <v>1.4231622250044715</v>
      </c>
      <c r="N22" s="861">
        <f>(96163+875797)/414102</f>
        <v>2.3471511849737503</v>
      </c>
      <c r="O22" s="861">
        <f>(76785+665691)/484901</f>
        <v>1.5311909028853312</v>
      </c>
      <c r="P22" s="297"/>
      <c r="Q22" s="297"/>
      <c r="R22" s="297"/>
      <c r="S22" s="297"/>
      <c r="T22" s="297"/>
      <c r="U22" s="297"/>
      <c r="V22" s="297"/>
      <c r="W22" s="1"/>
      <c r="X22" s="1"/>
      <c r="Y22" s="1"/>
    </row>
    <row r="23" spans="1:25" s="42" customFormat="1" ht="30">
      <c r="A23" s="844"/>
      <c r="B23" s="485" t="s">
        <v>415</v>
      </c>
      <c r="C23" s="486" t="s">
        <v>68</v>
      </c>
      <c r="D23" s="487">
        <f>(((B10*C10*D10)+(B11*C11*D11)+(B12*C12*D12))/100)</f>
        <v>961017.6</v>
      </c>
      <c r="E23" s="860"/>
      <c r="F23" s="488" t="s">
        <v>335</v>
      </c>
      <c r="G23" s="478">
        <f>'2-Données générales'!$C$7</f>
        <v>2013</v>
      </c>
      <c r="H23" s="481"/>
      <c r="I23" s="297"/>
      <c r="J23" s="297"/>
      <c r="K23" s="297"/>
      <c r="L23" s="865"/>
      <c r="M23" s="862"/>
      <c r="N23" s="862"/>
      <c r="O23" s="862"/>
      <c r="P23" s="297"/>
      <c r="Q23" s="297"/>
      <c r="R23" s="297"/>
      <c r="S23" s="297"/>
      <c r="T23" s="297"/>
      <c r="U23" s="297"/>
      <c r="V23" s="297"/>
      <c r="W23" s="43"/>
      <c r="X23" s="43"/>
      <c r="Y23" s="43"/>
    </row>
    <row r="24" spans="1:25" ht="30">
      <c r="A24" s="845"/>
      <c r="B24" s="489" t="s">
        <v>416</v>
      </c>
      <c r="C24" s="486" t="s">
        <v>68</v>
      </c>
      <c r="D24" s="16">
        <v>3650</v>
      </c>
      <c r="E24" s="849"/>
      <c r="F24" s="488" t="s">
        <v>335</v>
      </c>
      <c r="G24" s="478">
        <f>'2-Données générales'!$C$7</f>
        <v>2013</v>
      </c>
      <c r="H24" s="481"/>
      <c r="I24" s="297"/>
      <c r="J24" s="297"/>
      <c r="K24" s="297"/>
      <c r="L24" s="864"/>
      <c r="M24" s="861"/>
      <c r="N24" s="861"/>
      <c r="O24" s="861"/>
      <c r="P24" s="297"/>
      <c r="Q24" s="297"/>
      <c r="R24" s="297"/>
      <c r="S24" s="297"/>
      <c r="T24" s="297"/>
      <c r="U24" s="297"/>
      <c r="V24" s="297"/>
      <c r="W24" s="1"/>
      <c r="X24" s="1"/>
      <c r="Y24" s="1"/>
    </row>
    <row r="25" spans="1:25" ht="30.75" customHeight="1">
      <c r="A25" s="846" t="s">
        <v>368</v>
      </c>
      <c r="B25" s="490" t="s">
        <v>186</v>
      </c>
      <c r="C25" s="486" t="s">
        <v>68</v>
      </c>
      <c r="D25" s="491">
        <f>(Transp_Gasol_L14*mun_population_E22/Tunisia_population_E24)  -'3-Commune'!D32-'3-Commune'!E32</f>
        <v>1936.0408707506019</v>
      </c>
      <c r="E25" s="849">
        <f>D26</f>
        <v>2758</v>
      </c>
      <c r="F25" s="492" t="s">
        <v>335</v>
      </c>
      <c r="G25" s="478">
        <f>'2-Données générales'!$C$7</f>
        <v>2013</v>
      </c>
      <c r="H25" s="481"/>
      <c r="I25" s="297"/>
      <c r="J25" s="297"/>
      <c r="K25" s="297"/>
      <c r="L25" s="863">
        <f>F40/'2-Données générales'!C56</f>
        <v>7.3212513794681305E-3</v>
      </c>
      <c r="M25" s="838">
        <f>(12513)/55910</f>
        <v>0.22380611697370775</v>
      </c>
      <c r="N25" s="838">
        <f>172329/414102</f>
        <v>0.41615109320891952</v>
      </c>
      <c r="O25" s="838">
        <f>150557/484901</f>
        <v>0.31049018253210448</v>
      </c>
      <c r="P25" s="297"/>
      <c r="Q25" s="297"/>
      <c r="R25" s="297"/>
      <c r="S25" s="297"/>
      <c r="T25" s="297"/>
      <c r="U25" s="297"/>
      <c r="V25" s="297"/>
      <c r="W25" s="1"/>
      <c r="X25" s="1"/>
      <c r="Y25" s="1"/>
    </row>
    <row r="26" spans="1:25" ht="30">
      <c r="A26" s="847"/>
      <c r="B26" s="493" t="s">
        <v>334</v>
      </c>
      <c r="C26" s="486" t="s">
        <v>68</v>
      </c>
      <c r="D26" s="16">
        <v>2758</v>
      </c>
      <c r="E26" s="849"/>
      <c r="F26" s="492" t="s">
        <v>335</v>
      </c>
      <c r="G26" s="478">
        <f>'2-Données générales'!$C$7</f>
        <v>2013</v>
      </c>
      <c r="H26" s="481"/>
      <c r="I26" s="297"/>
      <c r="J26" s="297"/>
      <c r="K26" s="297"/>
      <c r="L26" s="863"/>
      <c r="M26" s="838"/>
      <c r="N26" s="838"/>
      <c r="O26" s="838"/>
      <c r="P26" s="297"/>
      <c r="Q26" s="297"/>
      <c r="R26" s="297"/>
      <c r="S26" s="297"/>
      <c r="T26" s="297"/>
      <c r="U26" s="297"/>
      <c r="V26" s="297"/>
      <c r="W26" s="1"/>
      <c r="X26" s="1"/>
      <c r="Y26" s="1"/>
    </row>
    <row r="27" spans="1:25" s="76" customFormat="1" ht="30">
      <c r="A27" s="846" t="s">
        <v>369</v>
      </c>
      <c r="B27" s="490" t="s">
        <v>370</v>
      </c>
      <c r="C27" s="486" t="s">
        <v>68</v>
      </c>
      <c r="D27" s="491">
        <f>IF(B4="oui",('2-Données générales'!Transport_GPL*mun_population_E22/Tunisia_population_E24)-'3-Commune'!D29-'3-Commune'!E29,0)</f>
        <v>68.257778342203608</v>
      </c>
      <c r="E27" s="849">
        <f>D28</f>
        <v>263</v>
      </c>
      <c r="F27" s="492" t="s">
        <v>29</v>
      </c>
      <c r="G27" s="478">
        <f>'2-Données générales'!$C$7</f>
        <v>2013</v>
      </c>
      <c r="H27" s="481"/>
      <c r="I27" s="297"/>
      <c r="J27" s="297"/>
      <c r="K27" s="297"/>
      <c r="L27" s="841">
        <f>F37/'2-Données générales'!C56</f>
        <v>9.7867544142980203E-4</v>
      </c>
      <c r="M27" s="842">
        <v>0</v>
      </c>
      <c r="N27" s="842">
        <v>0</v>
      </c>
      <c r="O27" s="842">
        <v>0</v>
      </c>
      <c r="P27" s="297"/>
      <c r="Q27" s="297"/>
      <c r="R27" s="297"/>
      <c r="S27" s="297"/>
      <c r="T27" s="297"/>
      <c r="U27" s="297"/>
      <c r="V27" s="297"/>
      <c r="W27" s="77"/>
      <c r="X27" s="77"/>
      <c r="Y27" s="77"/>
    </row>
    <row r="28" spans="1:25" s="76" customFormat="1" ht="30">
      <c r="A28" s="847"/>
      <c r="B28" s="493" t="s">
        <v>371</v>
      </c>
      <c r="C28" s="486" t="s">
        <v>68</v>
      </c>
      <c r="D28" s="16">
        <v>263</v>
      </c>
      <c r="E28" s="849"/>
      <c r="F28" s="569" t="s">
        <v>29</v>
      </c>
      <c r="G28" s="570">
        <f>'2-Données générales'!$C$7</f>
        <v>2013</v>
      </c>
      <c r="H28" s="481"/>
      <c r="I28" s="297"/>
      <c r="J28" s="297"/>
      <c r="K28" s="297"/>
      <c r="L28" s="841"/>
      <c r="M28" s="842"/>
      <c r="N28" s="842"/>
      <c r="O28" s="842"/>
      <c r="P28" s="297"/>
      <c r="Q28" s="297"/>
      <c r="R28" s="297"/>
      <c r="S28" s="297"/>
      <c r="T28" s="297"/>
      <c r="U28" s="297"/>
      <c r="V28" s="297"/>
      <c r="W28" s="77"/>
      <c r="X28" s="77"/>
      <c r="Y28" s="77"/>
    </row>
    <row r="29" spans="1:25" ht="65.25" customHeight="1">
      <c r="A29" s="297"/>
      <c r="B29" s="297"/>
      <c r="C29" s="297"/>
      <c r="D29" s="581" t="str">
        <f>IF(B4="oui","Prière renseigner la valeur de la consommation totale du GPL pour le transport","prière de vérifier que la valeur de la cellule E24 est égale à 0")</f>
        <v>Prière renseigner la valeur de la consommation totale du GPL pour le transport</v>
      </c>
      <c r="E29" s="297"/>
      <c r="F29" s="297"/>
      <c r="G29" s="297"/>
      <c r="H29" s="297"/>
      <c r="I29" s="297"/>
      <c r="J29" s="297"/>
      <c r="K29" s="297"/>
      <c r="L29" s="297"/>
      <c r="M29" s="297"/>
      <c r="N29" s="297"/>
      <c r="O29" s="297"/>
      <c r="P29" s="297"/>
      <c r="Q29" s="297"/>
      <c r="R29" s="297"/>
      <c r="S29" s="297"/>
      <c r="T29" s="297"/>
      <c r="U29" s="297"/>
      <c r="V29" s="297"/>
      <c r="W29" s="1"/>
      <c r="X29" s="1"/>
      <c r="Y29" s="1"/>
    </row>
    <row r="30" spans="1:25" ht="15.75" customHeight="1">
      <c r="A30" s="800" t="s">
        <v>189</v>
      </c>
      <c r="B30" s="800"/>
      <c r="C30" s="800"/>
      <c r="D30" s="800"/>
      <c r="E30" s="800"/>
      <c r="F30" s="800"/>
      <c r="G30" s="221"/>
      <c r="H30" s="221"/>
      <c r="I30" s="221"/>
      <c r="J30" s="329"/>
      <c r="K30" s="221"/>
      <c r="L30" s="221"/>
      <c r="M30" s="221"/>
      <c r="N30" s="253"/>
      <c r="O30" s="253"/>
      <c r="P30" s="253"/>
      <c r="Q30" s="253"/>
      <c r="R30" s="253"/>
      <c r="S30" s="253"/>
      <c r="T30" s="297"/>
      <c r="U30" s="297"/>
      <c r="V30" s="297"/>
      <c r="W30" s="1"/>
      <c r="X30" s="1"/>
      <c r="Y30" s="1"/>
    </row>
    <row r="31" spans="1:25">
      <c r="A31" s="848"/>
      <c r="B31" s="848"/>
      <c r="C31" s="848"/>
      <c r="D31" s="848"/>
      <c r="E31" s="848"/>
      <c r="F31" s="848"/>
      <c r="G31" s="297"/>
      <c r="H31" s="297"/>
      <c r="I31" s="297"/>
      <c r="J31" s="297"/>
      <c r="K31" s="297"/>
      <c r="L31" s="297"/>
      <c r="M31" s="297"/>
      <c r="N31" s="297"/>
      <c r="O31" s="297"/>
      <c r="P31" s="297"/>
      <c r="Q31" s="297"/>
      <c r="R31" s="297"/>
      <c r="S31" s="297"/>
      <c r="T31" s="297"/>
      <c r="U31" s="297"/>
      <c r="V31" s="297"/>
      <c r="W31" s="1"/>
      <c r="X31" s="1"/>
      <c r="Y31" s="1"/>
    </row>
    <row r="32" spans="1:25" ht="18.75">
      <c r="A32" s="757" t="s">
        <v>190</v>
      </c>
      <c r="B32" s="757"/>
      <c r="C32" s="757" t="s">
        <v>17</v>
      </c>
      <c r="D32" s="757"/>
      <c r="E32" s="757"/>
      <c r="F32" s="757"/>
      <c r="G32" s="297"/>
      <c r="H32" s="843" t="s">
        <v>330</v>
      </c>
      <c r="I32" s="843"/>
      <c r="J32" s="843" t="s">
        <v>16</v>
      </c>
      <c r="K32" s="843"/>
      <c r="L32" s="843"/>
      <c r="M32" s="843"/>
      <c r="N32" s="297"/>
      <c r="O32" s="297"/>
      <c r="P32" s="297"/>
      <c r="Q32" s="297"/>
      <c r="R32" s="297"/>
      <c r="S32" s="297"/>
      <c r="T32" s="297"/>
      <c r="U32" s="297"/>
      <c r="V32" s="297"/>
      <c r="W32" s="1"/>
      <c r="X32" s="1"/>
      <c r="Y32" s="1"/>
    </row>
    <row r="33" spans="1:25" ht="30">
      <c r="A33" s="775" t="s">
        <v>191</v>
      </c>
      <c r="B33" s="720"/>
      <c r="C33" s="494" t="s">
        <v>155</v>
      </c>
      <c r="D33" s="494" t="s">
        <v>192</v>
      </c>
      <c r="E33" s="494" t="s">
        <v>193</v>
      </c>
      <c r="F33" s="430" t="s">
        <v>124</v>
      </c>
      <c r="G33" s="297"/>
      <c r="H33" s="775" t="s">
        <v>121</v>
      </c>
      <c r="I33" s="720"/>
      <c r="J33" s="495" t="s">
        <v>11</v>
      </c>
      <c r="K33" s="495" t="s">
        <v>12</v>
      </c>
      <c r="L33" s="495" t="s">
        <v>13</v>
      </c>
      <c r="M33" s="496" t="s">
        <v>30</v>
      </c>
      <c r="N33" s="297"/>
      <c r="O33" s="297"/>
      <c r="P33" s="297"/>
      <c r="Q33" s="297"/>
      <c r="R33" s="297"/>
      <c r="S33" s="297"/>
      <c r="T33" s="297"/>
      <c r="U33" s="297"/>
      <c r="V33" s="297"/>
      <c r="W33" s="1"/>
      <c r="X33" s="1"/>
      <c r="Y33" s="1"/>
    </row>
    <row r="34" spans="1:25">
      <c r="A34" s="764" t="s">
        <v>36</v>
      </c>
      <c r="B34" s="764"/>
      <c r="C34" s="497"/>
      <c r="D34" s="498">
        <f>E20</f>
        <v>0</v>
      </c>
      <c r="E34" s="497"/>
      <c r="F34" s="498">
        <f>SUM(C34:E34)</f>
        <v>0</v>
      </c>
      <c r="G34" s="297"/>
      <c r="H34" s="764" t="s">
        <v>36</v>
      </c>
      <c r="I34" s="764"/>
      <c r="J34" s="499"/>
      <c r="K34" s="500">
        <f>D34/1000*'2-Données générales'!D80</f>
        <v>0</v>
      </c>
      <c r="L34" s="499"/>
      <c r="M34" s="500">
        <f>F34/1000*'2-Données générales'!D80</f>
        <v>0</v>
      </c>
      <c r="N34" s="297"/>
      <c r="O34" s="297"/>
      <c r="P34" s="297"/>
      <c r="Q34" s="297"/>
      <c r="R34" s="297"/>
      <c r="S34" s="297"/>
      <c r="T34" s="297"/>
      <c r="U34" s="297"/>
      <c r="V34" s="297"/>
      <c r="W34" s="1"/>
      <c r="X34" s="1"/>
      <c r="Y34" s="1"/>
    </row>
    <row r="35" spans="1:25">
      <c r="A35" s="765" t="s">
        <v>139</v>
      </c>
      <c r="B35" s="765"/>
      <c r="C35" s="501"/>
      <c r="D35" s="501"/>
      <c r="E35" s="501"/>
      <c r="F35" s="501"/>
      <c r="G35" s="297"/>
      <c r="H35" s="765" t="s">
        <v>101</v>
      </c>
      <c r="I35" s="765"/>
      <c r="J35" s="499"/>
      <c r="K35" s="499"/>
      <c r="L35" s="499"/>
      <c r="M35" s="499"/>
      <c r="N35" s="297"/>
      <c r="O35" s="297"/>
      <c r="P35" s="297"/>
      <c r="Q35" s="297"/>
      <c r="R35" s="297"/>
      <c r="S35" s="297"/>
      <c r="T35" s="297"/>
      <c r="U35" s="297"/>
      <c r="V35" s="297"/>
      <c r="W35" s="1"/>
      <c r="X35" s="1"/>
      <c r="Y35" s="1"/>
    </row>
    <row r="36" spans="1:25" ht="15" customHeight="1">
      <c r="A36" s="850" t="s">
        <v>194</v>
      </c>
      <c r="B36" s="84" t="s">
        <v>98</v>
      </c>
      <c r="C36" s="502"/>
      <c r="D36" s="502"/>
      <c r="E36" s="502"/>
      <c r="F36" s="502"/>
      <c r="G36" s="297"/>
      <c r="H36" s="753" t="s">
        <v>125</v>
      </c>
      <c r="I36" s="84" t="s">
        <v>98</v>
      </c>
      <c r="J36" s="499"/>
      <c r="K36" s="499"/>
      <c r="L36" s="499"/>
      <c r="M36" s="499"/>
      <c r="N36" s="297"/>
      <c r="O36" s="297"/>
      <c r="P36" s="297"/>
      <c r="Q36" s="297"/>
      <c r="R36" s="297"/>
      <c r="S36" s="297"/>
      <c r="T36" s="297"/>
      <c r="U36" s="297"/>
      <c r="V36" s="297"/>
      <c r="W36" s="1"/>
      <c r="X36" s="1"/>
      <c r="Y36" s="1"/>
    </row>
    <row r="37" spans="1:25">
      <c r="A37" s="851"/>
      <c r="B37" s="85" t="s">
        <v>195</v>
      </c>
      <c r="C37" s="856">
        <f>E27*'2-Données générales'!C67</f>
        <v>3.3823023255813958</v>
      </c>
      <c r="D37" s="857"/>
      <c r="E37" s="500"/>
      <c r="F37" s="500">
        <f>SUM(C37:E37)</f>
        <v>3.3823023255813958</v>
      </c>
      <c r="G37" s="297"/>
      <c r="H37" s="747"/>
      <c r="I37" s="85" t="s">
        <v>102</v>
      </c>
      <c r="J37" s="856">
        <f>C37/1000*'2-Données générales'!D83</f>
        <v>0.76912947527209941</v>
      </c>
      <c r="K37" s="857"/>
      <c r="L37" s="500">
        <f>E37/1000*'2-Données générales'!D83</f>
        <v>0</v>
      </c>
      <c r="M37" s="500">
        <f>F37/1000*'2-Données générales'!D83</f>
        <v>0.76912947527209941</v>
      </c>
      <c r="N37" s="297"/>
      <c r="O37" s="297"/>
      <c r="P37" s="297"/>
      <c r="Q37" s="297"/>
      <c r="R37" s="297"/>
      <c r="S37" s="297"/>
      <c r="T37" s="297"/>
      <c r="U37" s="297"/>
      <c r="V37" s="297"/>
      <c r="W37" s="1"/>
      <c r="X37" s="1"/>
      <c r="Y37" s="1"/>
    </row>
    <row r="38" spans="1:25" ht="30">
      <c r="A38" s="851"/>
      <c r="B38" s="503" t="s">
        <v>103</v>
      </c>
      <c r="C38" s="501"/>
      <c r="D38" s="501"/>
      <c r="E38" s="501"/>
      <c r="F38" s="501"/>
      <c r="G38" s="297"/>
      <c r="H38" s="747"/>
      <c r="I38" s="504" t="s">
        <v>199</v>
      </c>
      <c r="J38" s="499"/>
      <c r="K38" s="499"/>
      <c r="L38" s="499"/>
      <c r="M38" s="499"/>
      <c r="N38" s="297"/>
      <c r="O38" s="297"/>
      <c r="P38" s="297"/>
      <c r="Q38" s="297"/>
      <c r="R38" s="297"/>
      <c r="S38" s="297"/>
      <c r="T38" s="297"/>
      <c r="U38" s="297"/>
      <c r="V38" s="297"/>
      <c r="W38" s="1"/>
      <c r="X38" s="1"/>
      <c r="Y38" s="1"/>
    </row>
    <row r="39" spans="1:25">
      <c r="A39" s="851"/>
      <c r="B39" s="84" t="s">
        <v>292</v>
      </c>
      <c r="C39" s="505"/>
      <c r="D39" s="505"/>
      <c r="E39" s="505"/>
      <c r="F39" s="505">
        <f>E22*Diesel_conv_C48</f>
        <v>36.788095348837217</v>
      </c>
      <c r="G39" s="297"/>
      <c r="H39" s="747"/>
      <c r="I39" s="84" t="s">
        <v>292</v>
      </c>
      <c r="J39" s="506">
        <f>C39/1000*'2-Données générales'!D85</f>
        <v>0</v>
      </c>
      <c r="K39" s="506">
        <f>D39/1000*'2-Données générales'!D85</f>
        <v>0</v>
      </c>
      <c r="L39" s="506">
        <f>E39/1000*'2-Données générales'!D85</f>
        <v>0</v>
      </c>
      <c r="M39" s="506">
        <f>F39/1000*'2-Données générales'!D85</f>
        <v>9.848977359089341</v>
      </c>
      <c r="N39" s="297"/>
      <c r="O39" s="297"/>
      <c r="P39" s="297"/>
      <c r="Q39" s="297"/>
      <c r="R39" s="297"/>
      <c r="S39" s="297"/>
      <c r="T39" s="297"/>
      <c r="U39" s="297"/>
      <c r="V39" s="297"/>
      <c r="W39" s="1"/>
      <c r="X39" s="1"/>
      <c r="Y39" s="1"/>
    </row>
    <row r="40" spans="1:25">
      <c r="A40" s="851"/>
      <c r="B40" s="85" t="s">
        <v>95</v>
      </c>
      <c r="C40" s="500"/>
      <c r="D40" s="500"/>
      <c r="E40" s="500"/>
      <c r="F40" s="500">
        <f>E25*Gasoline_conv_C49</f>
        <v>25.302244767441859</v>
      </c>
      <c r="G40" s="297"/>
      <c r="H40" s="747"/>
      <c r="I40" s="85" t="s">
        <v>95</v>
      </c>
      <c r="J40" s="500">
        <f>C40/1000*'2-Données générales'!D86</f>
        <v>0</v>
      </c>
      <c r="K40" s="500">
        <f>D40/1000*'2-Données générales'!D86</f>
        <v>0</v>
      </c>
      <c r="L40" s="500">
        <f>E40/1000*'2-Données générales'!D86</f>
        <v>0</v>
      </c>
      <c r="M40" s="500">
        <f>F40/1000*'2-Données générales'!D86</f>
        <v>6.4683297365586281</v>
      </c>
      <c r="N40" s="297"/>
      <c r="O40" s="297"/>
      <c r="P40" s="297"/>
      <c r="Q40" s="297"/>
      <c r="R40" s="297"/>
      <c r="S40" s="297"/>
      <c r="T40" s="297"/>
      <c r="U40" s="297"/>
      <c r="V40" s="297"/>
      <c r="W40" s="1"/>
      <c r="X40" s="1"/>
      <c r="Y40" s="1"/>
    </row>
    <row r="41" spans="1:25">
      <c r="A41" s="851"/>
      <c r="B41" s="86" t="s">
        <v>2</v>
      </c>
      <c r="C41" s="501"/>
      <c r="D41" s="501"/>
      <c r="E41" s="501"/>
      <c r="F41" s="501"/>
      <c r="G41" s="297"/>
      <c r="H41" s="747"/>
      <c r="I41" s="86" t="s">
        <v>2</v>
      </c>
      <c r="J41" s="499"/>
      <c r="K41" s="499"/>
      <c r="L41" s="499"/>
      <c r="M41" s="499"/>
      <c r="N41" s="297"/>
      <c r="O41" s="297"/>
      <c r="P41" s="297"/>
      <c r="Q41" s="297"/>
      <c r="R41" s="297"/>
      <c r="S41" s="297"/>
      <c r="T41" s="297"/>
      <c r="U41" s="297"/>
      <c r="V41" s="297"/>
      <c r="W41" s="1"/>
      <c r="X41" s="1"/>
      <c r="Y41" s="1"/>
    </row>
    <row r="42" spans="1:25">
      <c r="A42" s="851"/>
      <c r="B42" s="84" t="s">
        <v>63</v>
      </c>
      <c r="C42" s="502"/>
      <c r="D42" s="502"/>
      <c r="E42" s="502"/>
      <c r="F42" s="502"/>
      <c r="G42" s="297"/>
      <c r="H42" s="747"/>
      <c r="I42" s="84" t="s">
        <v>63</v>
      </c>
      <c r="J42" s="499"/>
      <c r="K42" s="499"/>
      <c r="L42" s="499"/>
      <c r="M42" s="499"/>
      <c r="N42" s="297"/>
      <c r="O42" s="297"/>
      <c r="P42" s="297"/>
      <c r="Q42" s="297"/>
      <c r="R42" s="297"/>
      <c r="S42" s="297"/>
      <c r="T42" s="297"/>
      <c r="U42" s="297"/>
      <c r="V42" s="297"/>
      <c r="W42" s="1"/>
      <c r="X42" s="1"/>
      <c r="Y42" s="1"/>
    </row>
    <row r="43" spans="1:25">
      <c r="A43" s="851"/>
      <c r="B43" s="85" t="s">
        <v>196</v>
      </c>
      <c r="C43" s="507"/>
      <c r="D43" s="507"/>
      <c r="E43" s="507"/>
      <c r="F43" s="507"/>
      <c r="G43" s="297"/>
      <c r="H43" s="747"/>
      <c r="I43" s="85" t="s">
        <v>196</v>
      </c>
      <c r="J43" s="499"/>
      <c r="K43" s="499"/>
      <c r="L43" s="499"/>
      <c r="M43" s="499"/>
      <c r="N43" s="297"/>
      <c r="O43" s="297"/>
      <c r="P43" s="297"/>
      <c r="Q43" s="297"/>
      <c r="R43" s="297"/>
      <c r="S43" s="297"/>
      <c r="T43" s="297"/>
      <c r="U43" s="297"/>
      <c r="V43" s="297"/>
      <c r="W43" s="1"/>
      <c r="X43" s="1"/>
      <c r="Y43" s="1"/>
    </row>
    <row r="44" spans="1:25" s="76" customFormat="1">
      <c r="A44" s="852"/>
      <c r="B44" s="85" t="s">
        <v>390</v>
      </c>
      <c r="C44" s="557"/>
      <c r="D44" s="557"/>
      <c r="E44" s="557"/>
      <c r="F44" s="557"/>
      <c r="G44" s="297"/>
      <c r="H44" s="754"/>
      <c r="I44" s="85" t="s">
        <v>390</v>
      </c>
      <c r="J44" s="558"/>
      <c r="K44" s="558"/>
      <c r="L44" s="558"/>
      <c r="M44" s="558"/>
      <c r="N44" s="297"/>
      <c r="O44" s="297"/>
      <c r="P44" s="297"/>
      <c r="Q44" s="297"/>
      <c r="R44" s="297"/>
      <c r="S44" s="297"/>
      <c r="T44" s="297"/>
      <c r="U44" s="297"/>
      <c r="V44" s="297"/>
      <c r="W44" s="77"/>
      <c r="X44" s="77"/>
      <c r="Y44" s="77"/>
    </row>
    <row r="45" spans="1:25">
      <c r="A45" s="766" t="s">
        <v>107</v>
      </c>
      <c r="B45" s="86" t="s">
        <v>106</v>
      </c>
      <c r="C45" s="501"/>
      <c r="D45" s="501"/>
      <c r="E45" s="501"/>
      <c r="F45" s="501"/>
      <c r="G45" s="297"/>
      <c r="H45" s="766" t="s">
        <v>200</v>
      </c>
      <c r="I45" s="86" t="s">
        <v>106</v>
      </c>
      <c r="J45" s="499"/>
      <c r="K45" s="499"/>
      <c r="L45" s="499"/>
      <c r="M45" s="499"/>
      <c r="N45" s="297"/>
      <c r="O45" s="297"/>
      <c r="P45" s="297"/>
      <c r="Q45" s="297"/>
      <c r="R45" s="297"/>
      <c r="S45" s="297"/>
      <c r="T45" s="297"/>
      <c r="U45" s="297"/>
      <c r="V45" s="297"/>
      <c r="W45" s="1"/>
      <c r="X45" s="1"/>
      <c r="Y45" s="1"/>
    </row>
    <row r="46" spans="1:25">
      <c r="A46" s="766"/>
      <c r="B46" s="84" t="s">
        <v>108</v>
      </c>
      <c r="C46" s="507"/>
      <c r="D46" s="507"/>
      <c r="E46" s="507"/>
      <c r="F46" s="507"/>
      <c r="G46" s="297"/>
      <c r="H46" s="766"/>
      <c r="I46" s="84" t="s">
        <v>108</v>
      </c>
      <c r="J46" s="499"/>
      <c r="K46" s="499"/>
      <c r="L46" s="499"/>
      <c r="M46" s="499"/>
      <c r="N46" s="297"/>
      <c r="O46" s="297"/>
      <c r="P46" s="297"/>
      <c r="Q46" s="297"/>
      <c r="R46" s="297"/>
      <c r="S46" s="297"/>
      <c r="T46" s="297"/>
      <c r="U46" s="297"/>
      <c r="V46" s="297"/>
      <c r="W46" s="1"/>
      <c r="X46" s="1"/>
      <c r="Y46" s="1"/>
    </row>
    <row r="47" spans="1:25">
      <c r="A47" s="766"/>
      <c r="B47" s="85" t="s">
        <v>109</v>
      </c>
      <c r="C47" s="499"/>
      <c r="D47" s="499"/>
      <c r="E47" s="501"/>
      <c r="F47" s="499"/>
      <c r="G47" s="297"/>
      <c r="H47" s="766"/>
      <c r="I47" s="85" t="s">
        <v>109</v>
      </c>
      <c r="J47" s="499"/>
      <c r="K47" s="499"/>
      <c r="L47" s="499"/>
      <c r="M47" s="499"/>
      <c r="N47" s="297"/>
      <c r="O47" s="297"/>
      <c r="P47" s="297"/>
      <c r="Q47" s="297"/>
      <c r="R47" s="297"/>
      <c r="S47" s="297"/>
      <c r="T47" s="297"/>
      <c r="U47" s="297"/>
      <c r="V47" s="297"/>
      <c r="W47" s="1"/>
      <c r="X47" s="1"/>
      <c r="Y47" s="1"/>
    </row>
    <row r="48" spans="1:25">
      <c r="A48" s="766"/>
      <c r="B48" s="86" t="s">
        <v>110</v>
      </c>
      <c r="C48" s="497"/>
      <c r="D48" s="497"/>
      <c r="E48" s="497"/>
      <c r="F48" s="497"/>
      <c r="G48" s="297"/>
      <c r="H48" s="766"/>
      <c r="I48" s="86" t="s">
        <v>110</v>
      </c>
      <c r="J48" s="499"/>
      <c r="K48" s="499"/>
      <c r="L48" s="499"/>
      <c r="M48" s="499"/>
      <c r="N48" s="297"/>
      <c r="O48" s="297"/>
      <c r="P48" s="297"/>
      <c r="Q48" s="297"/>
      <c r="R48" s="297"/>
      <c r="S48" s="297"/>
      <c r="T48" s="297"/>
      <c r="U48" s="297"/>
      <c r="V48" s="297"/>
      <c r="W48" s="1"/>
      <c r="X48" s="1"/>
      <c r="Y48" s="1"/>
    </row>
    <row r="49" spans="1:25">
      <c r="A49" s="766"/>
      <c r="B49" s="84" t="s">
        <v>197</v>
      </c>
      <c r="C49" s="502"/>
      <c r="D49" s="502"/>
      <c r="E49" s="502"/>
      <c r="F49" s="502"/>
      <c r="G49" s="297"/>
      <c r="H49" s="766"/>
      <c r="I49" s="84" t="s">
        <v>197</v>
      </c>
      <c r="J49" s="499"/>
      <c r="K49" s="499"/>
      <c r="L49" s="499"/>
      <c r="M49" s="499"/>
      <c r="N49" s="297"/>
      <c r="O49" s="297"/>
      <c r="P49" s="297"/>
      <c r="Q49" s="297"/>
      <c r="R49" s="297"/>
      <c r="S49" s="297"/>
      <c r="T49" s="297"/>
      <c r="U49" s="297"/>
      <c r="V49" s="297"/>
      <c r="W49" s="1"/>
      <c r="X49" s="1"/>
      <c r="Y49" s="1"/>
    </row>
    <row r="50" spans="1:25">
      <c r="A50" s="756" t="s">
        <v>198</v>
      </c>
      <c r="B50" s="708"/>
      <c r="C50" s="505">
        <f>SUM(C34:C49)</f>
        <v>3.3823023255813958</v>
      </c>
      <c r="D50" s="505">
        <f>SUM(D34:D49)</f>
        <v>0</v>
      </c>
      <c r="E50" s="505">
        <f>SUM(E34:E49)</f>
        <v>0</v>
      </c>
      <c r="F50" s="505">
        <f>SUM(F34:F49)</f>
        <v>65.472642441860472</v>
      </c>
      <c r="G50" s="297"/>
      <c r="H50" s="756" t="s">
        <v>198</v>
      </c>
      <c r="I50" s="708"/>
      <c r="J50" s="505">
        <f>SUM(J34:J49)</f>
        <v>0.76912947527209941</v>
      </c>
      <c r="K50" s="505">
        <f>SUM(K34:K49)</f>
        <v>0</v>
      </c>
      <c r="L50" s="505">
        <f>SUM(L34:L49)</f>
        <v>0</v>
      </c>
      <c r="M50" s="505">
        <f>SUM(M34:M49)</f>
        <v>17.086436570920071</v>
      </c>
      <c r="N50" s="297"/>
      <c r="O50" s="297"/>
      <c r="P50" s="297"/>
      <c r="Q50" s="297"/>
      <c r="R50" s="297"/>
      <c r="S50" s="297"/>
      <c r="T50" s="297"/>
      <c r="U50" s="297"/>
      <c r="V50" s="297"/>
      <c r="W50" s="1"/>
      <c r="X50" s="1"/>
      <c r="Y50" s="1"/>
    </row>
    <row r="51" spans="1:25">
      <c r="A51" s="297"/>
      <c r="B51" s="297"/>
      <c r="C51" s="297"/>
      <c r="D51" s="297"/>
      <c r="E51" s="297"/>
      <c r="F51" s="297"/>
      <c r="G51" s="297"/>
      <c r="H51" s="297"/>
      <c r="I51" s="297"/>
      <c r="J51" s="297"/>
      <c r="K51" s="297"/>
      <c r="L51" s="297"/>
      <c r="M51" s="297"/>
      <c r="N51" s="297"/>
      <c r="O51" s="297"/>
      <c r="P51" s="297"/>
      <c r="Q51" s="297"/>
      <c r="R51" s="297"/>
      <c r="S51" s="297"/>
      <c r="T51" s="297"/>
      <c r="U51" s="297"/>
      <c r="V51" s="297"/>
      <c r="W51" s="1"/>
      <c r="X51" s="1"/>
      <c r="Y51" s="1"/>
    </row>
    <row r="52" spans="1:25">
      <c r="A52" s="508"/>
      <c r="B52" s="508"/>
      <c r="C52" s="508"/>
      <c r="D52" s="508"/>
      <c r="E52" s="508"/>
      <c r="F52" s="508"/>
      <c r="G52" s="508"/>
      <c r="H52" s="508"/>
      <c r="I52" s="508"/>
      <c r="J52" s="508"/>
      <c r="K52" s="508"/>
      <c r="L52" s="508"/>
      <c r="M52" s="508"/>
      <c r="N52" s="508"/>
      <c r="O52" s="508"/>
      <c r="P52" s="508"/>
      <c r="Q52" s="508"/>
      <c r="R52" s="508"/>
      <c r="S52" s="508"/>
      <c r="T52" s="508"/>
      <c r="U52" s="508"/>
      <c r="V52" s="508"/>
      <c r="W52" s="1"/>
      <c r="X52" s="1"/>
      <c r="Y52" s="1"/>
    </row>
    <row r="53" spans="1:25">
      <c r="A53" s="508"/>
      <c r="B53" s="508"/>
      <c r="C53" s="508"/>
      <c r="D53" s="508"/>
      <c r="E53" s="508"/>
      <c r="F53" s="508"/>
      <c r="G53" s="508"/>
      <c r="H53" s="508"/>
      <c r="I53" s="508"/>
      <c r="J53" s="508"/>
      <c r="K53" s="508"/>
      <c r="L53" s="508"/>
      <c r="M53" s="508"/>
      <c r="N53" s="508"/>
      <c r="O53" s="508"/>
      <c r="P53" s="508"/>
      <c r="Q53" s="508"/>
      <c r="R53" s="508"/>
      <c r="S53" s="508"/>
      <c r="T53" s="508"/>
      <c r="U53" s="508"/>
      <c r="V53" s="508"/>
      <c r="W53" s="1"/>
      <c r="X53" s="1"/>
      <c r="Y53" s="1"/>
    </row>
    <row r="54" spans="1:25">
      <c r="A54" s="1"/>
      <c r="B54" s="1"/>
      <c r="C54" s="1"/>
      <c r="D54" s="1"/>
      <c r="E54" s="1"/>
      <c r="F54" s="1"/>
      <c r="G54" s="1"/>
      <c r="H54" s="1"/>
      <c r="I54" s="1"/>
      <c r="J54" s="1"/>
      <c r="K54" s="1"/>
      <c r="L54" s="1"/>
      <c r="M54" s="1"/>
      <c r="N54" s="1"/>
      <c r="O54" s="1"/>
      <c r="P54" s="1"/>
      <c r="Q54" s="1"/>
      <c r="R54" s="1"/>
      <c r="S54" s="1"/>
      <c r="T54" s="1"/>
      <c r="U54" s="1"/>
      <c r="V54" s="1"/>
      <c r="W54" s="1"/>
      <c r="X54" s="1"/>
      <c r="Y54" s="1"/>
    </row>
    <row r="55" spans="1:25">
      <c r="A55" s="1"/>
      <c r="B55" s="1"/>
      <c r="C55" s="1"/>
      <c r="D55" s="1"/>
      <c r="E55" s="1"/>
      <c r="F55" s="1"/>
      <c r="G55" s="1"/>
      <c r="H55" s="1"/>
      <c r="I55" s="1"/>
      <c r="J55" s="1"/>
      <c r="K55" s="1"/>
      <c r="L55" s="1"/>
      <c r="M55" s="1"/>
      <c r="N55" s="1"/>
      <c r="O55" s="1"/>
      <c r="P55" s="1"/>
      <c r="Q55" s="1"/>
      <c r="R55" s="1"/>
      <c r="S55" s="1"/>
      <c r="T55" s="1"/>
      <c r="U55" s="1"/>
      <c r="V55" s="1"/>
      <c r="W55" s="1"/>
      <c r="X55" s="1"/>
      <c r="Y55" s="1"/>
    </row>
    <row r="56" spans="1:25">
      <c r="A56" s="1"/>
      <c r="B56" s="1"/>
      <c r="C56" s="1"/>
      <c r="D56" s="1"/>
      <c r="E56" s="2"/>
      <c r="F56" s="2"/>
      <c r="G56" s="2"/>
      <c r="H56" s="2"/>
      <c r="I56" s="2"/>
      <c r="J56" s="2"/>
      <c r="K56" s="2"/>
      <c r="L56" s="2"/>
      <c r="M56" s="2"/>
      <c r="N56" s="2"/>
      <c r="O56" s="2"/>
      <c r="P56" s="1"/>
      <c r="Q56" s="1"/>
      <c r="R56" s="1"/>
      <c r="S56" s="1"/>
      <c r="T56" s="1"/>
      <c r="U56" s="1"/>
      <c r="V56" s="1"/>
      <c r="W56" s="1"/>
      <c r="X56" s="1"/>
      <c r="Y56" s="1"/>
    </row>
    <row r="57" spans="1:25">
      <c r="A57" s="1"/>
      <c r="B57" s="1"/>
      <c r="C57" s="1"/>
      <c r="D57" s="1"/>
      <c r="E57" s="2"/>
      <c r="F57" s="2"/>
      <c r="G57" s="2"/>
      <c r="H57" s="2"/>
      <c r="I57" s="2"/>
      <c r="J57" s="2"/>
      <c r="K57" s="2"/>
      <c r="L57" s="2"/>
      <c r="M57" s="2"/>
      <c r="N57" s="2"/>
      <c r="O57" s="2"/>
      <c r="P57" s="1"/>
      <c r="Q57" s="1"/>
      <c r="R57" s="1"/>
      <c r="S57" s="1"/>
      <c r="T57" s="1"/>
      <c r="U57" s="1"/>
      <c r="V57" s="1"/>
      <c r="W57" s="1"/>
      <c r="X57" s="1"/>
      <c r="Y57" s="1"/>
    </row>
    <row r="58" spans="1:25">
      <c r="A58" s="1"/>
      <c r="B58" s="1"/>
      <c r="C58" s="1"/>
      <c r="D58" s="1"/>
      <c r="E58" s="2"/>
      <c r="F58" s="2"/>
      <c r="G58" s="2"/>
      <c r="H58" s="2"/>
      <c r="I58" s="2"/>
      <c r="J58" s="2"/>
      <c r="K58" s="2"/>
      <c r="L58" s="2"/>
      <c r="M58" s="2"/>
      <c r="N58" s="2"/>
      <c r="O58" s="2"/>
      <c r="P58" s="2"/>
      <c r="Q58" s="1"/>
      <c r="R58" s="1"/>
      <c r="S58" s="1"/>
      <c r="T58" s="1"/>
      <c r="U58" s="1"/>
      <c r="V58" s="1"/>
      <c r="W58" s="1"/>
      <c r="X58" s="1"/>
      <c r="Y58" s="1"/>
    </row>
    <row r="59" spans="1:25">
      <c r="A59" s="1"/>
      <c r="B59" s="1"/>
      <c r="C59" s="1"/>
      <c r="D59" s="1"/>
      <c r="E59" s="2"/>
      <c r="F59" s="2"/>
      <c r="G59" s="2"/>
      <c r="H59" s="2"/>
      <c r="I59" s="2"/>
      <c r="J59" s="2"/>
      <c r="K59" s="2"/>
      <c r="L59" s="2"/>
      <c r="M59" s="2"/>
      <c r="N59" s="2"/>
      <c r="O59" s="2"/>
      <c r="P59" s="2"/>
      <c r="Q59" s="1"/>
      <c r="R59" s="1"/>
      <c r="S59" s="1"/>
      <c r="T59" s="1"/>
      <c r="U59" s="1"/>
      <c r="V59" s="1"/>
      <c r="W59" s="1"/>
      <c r="X59" s="1"/>
      <c r="Y59" s="1"/>
    </row>
    <row r="60" spans="1:25">
      <c r="A60" s="1"/>
      <c r="B60" s="1"/>
      <c r="C60" s="1"/>
      <c r="D60" s="1"/>
      <c r="E60" s="2"/>
      <c r="F60" s="2"/>
      <c r="G60" s="2"/>
      <c r="H60" s="2"/>
      <c r="I60" s="2"/>
      <c r="J60" s="2"/>
      <c r="K60" s="2"/>
      <c r="L60" s="2"/>
      <c r="M60" s="2"/>
      <c r="N60" s="2"/>
      <c r="O60" s="2"/>
      <c r="P60" s="2"/>
      <c r="Q60" s="1"/>
      <c r="R60" s="1"/>
      <c r="S60" s="1"/>
      <c r="T60" s="1"/>
      <c r="U60" s="1"/>
      <c r="V60" s="1"/>
      <c r="W60" s="1"/>
      <c r="X60" s="1"/>
      <c r="Y60" s="1"/>
    </row>
    <row r="61" spans="1:25">
      <c r="A61" s="1"/>
      <c r="B61" s="1"/>
      <c r="C61" s="1"/>
      <c r="D61" s="1"/>
      <c r="E61" s="2"/>
      <c r="F61" s="2"/>
      <c r="G61" s="2"/>
      <c r="H61" s="2"/>
      <c r="I61" s="2"/>
      <c r="J61" s="2"/>
      <c r="K61" s="2"/>
      <c r="L61" s="2"/>
      <c r="M61" s="2"/>
      <c r="N61" s="2"/>
      <c r="O61" s="2"/>
      <c r="P61" s="2"/>
      <c r="Q61" s="1"/>
      <c r="R61" s="1"/>
      <c r="S61" s="1"/>
      <c r="T61" s="1"/>
      <c r="U61" s="1"/>
      <c r="V61" s="1"/>
      <c r="W61" s="1"/>
      <c r="X61" s="1"/>
      <c r="Y61" s="1"/>
    </row>
    <row r="62" spans="1:25">
      <c r="A62" s="1"/>
      <c r="B62" s="1"/>
      <c r="C62" s="1"/>
      <c r="D62" s="1"/>
      <c r="E62" s="2"/>
      <c r="F62" s="2"/>
      <c r="G62" s="2"/>
      <c r="H62" s="2"/>
      <c r="I62" s="2"/>
      <c r="J62" s="2"/>
      <c r="K62" s="2"/>
      <c r="L62" s="2"/>
      <c r="M62" s="2"/>
      <c r="N62" s="2"/>
      <c r="O62" s="2"/>
      <c r="P62" s="2"/>
      <c r="Q62" s="1"/>
      <c r="R62" s="1"/>
      <c r="S62" s="1"/>
      <c r="T62" s="1"/>
      <c r="U62" s="1"/>
      <c r="V62" s="1"/>
      <c r="W62" s="1"/>
      <c r="X62" s="1"/>
      <c r="Y62" s="1"/>
    </row>
    <row r="63" spans="1:25">
      <c r="A63" s="1"/>
      <c r="B63" s="1"/>
      <c r="C63" s="1"/>
      <c r="D63" s="1"/>
      <c r="E63" s="2"/>
      <c r="F63" s="2"/>
      <c r="G63" s="2"/>
      <c r="H63" s="2"/>
      <c r="I63" s="2"/>
      <c r="J63" s="2"/>
      <c r="K63" s="2"/>
      <c r="L63" s="2"/>
      <c r="M63" s="2"/>
      <c r="N63" s="2"/>
      <c r="O63" s="2"/>
      <c r="P63" s="2"/>
      <c r="Q63" s="1"/>
      <c r="R63" s="1"/>
      <c r="S63" s="1"/>
      <c r="T63" s="1"/>
      <c r="U63" s="1"/>
      <c r="V63" s="1"/>
      <c r="W63" s="1"/>
      <c r="X63" s="1"/>
      <c r="Y63" s="1"/>
    </row>
    <row r="64" spans="1:25">
      <c r="A64" s="1"/>
      <c r="B64" s="1"/>
      <c r="C64" s="1"/>
      <c r="D64" s="1"/>
      <c r="E64" s="2"/>
      <c r="F64" s="2"/>
      <c r="G64" s="2"/>
      <c r="H64" s="2"/>
      <c r="I64" s="2"/>
      <c r="J64" s="2"/>
      <c r="K64" s="2"/>
      <c r="L64" s="2"/>
      <c r="M64" s="2"/>
      <c r="N64" s="2"/>
      <c r="O64" s="2"/>
      <c r="P64" s="2"/>
      <c r="Q64" s="1"/>
      <c r="R64" s="1"/>
      <c r="S64" s="1"/>
      <c r="T64" s="1"/>
      <c r="U64" s="1"/>
      <c r="V64" s="1"/>
      <c r="W64" s="1"/>
      <c r="X64" s="1"/>
      <c r="Y64" s="1"/>
    </row>
    <row r="65" spans="1:25">
      <c r="A65" s="1"/>
      <c r="B65" s="1"/>
      <c r="C65" s="1"/>
      <c r="D65" s="1"/>
      <c r="E65" s="2"/>
      <c r="F65" s="2"/>
      <c r="G65" s="2"/>
      <c r="H65" s="2"/>
      <c r="I65" s="2"/>
      <c r="J65" s="2"/>
      <c r="K65" s="2"/>
      <c r="L65" s="2"/>
      <c r="M65" s="2"/>
      <c r="N65" s="2"/>
      <c r="O65" s="2"/>
      <c r="P65" s="1"/>
      <c r="Q65" s="1"/>
      <c r="R65" s="1"/>
      <c r="S65" s="1"/>
      <c r="T65" s="1"/>
      <c r="U65" s="1"/>
      <c r="V65" s="1"/>
      <c r="W65" s="1"/>
      <c r="X65" s="1"/>
      <c r="Y65" s="1"/>
    </row>
    <row r="66" spans="1:25">
      <c r="A66" s="1"/>
      <c r="B66" s="1"/>
      <c r="C66" s="1"/>
      <c r="D66" s="1"/>
      <c r="E66" s="2"/>
      <c r="F66" s="2"/>
      <c r="G66" s="2"/>
      <c r="H66" s="2"/>
      <c r="I66" s="2"/>
      <c r="J66" s="2"/>
      <c r="K66" s="2"/>
      <c r="L66" s="2"/>
      <c r="M66" s="2"/>
      <c r="N66" s="2"/>
      <c r="O66" s="2"/>
      <c r="P66" s="1"/>
      <c r="Q66" s="1"/>
      <c r="R66" s="1"/>
      <c r="S66" s="1"/>
      <c r="T66" s="1"/>
      <c r="U66" s="1"/>
      <c r="V66" s="1"/>
      <c r="W66" s="1"/>
      <c r="X66" s="1"/>
      <c r="Y66" s="1"/>
    </row>
    <row r="67" spans="1:25">
      <c r="A67" s="1"/>
      <c r="B67" s="1"/>
      <c r="C67" s="1"/>
      <c r="D67" s="1"/>
      <c r="E67" s="1"/>
      <c r="F67" s="1"/>
      <c r="G67" s="1"/>
      <c r="H67" s="1"/>
      <c r="I67" s="1"/>
      <c r="J67" s="1"/>
      <c r="K67" s="1"/>
      <c r="L67" s="1"/>
      <c r="M67" s="1"/>
      <c r="N67" s="1"/>
      <c r="O67" s="1"/>
      <c r="P67" s="1"/>
      <c r="Q67" s="1"/>
      <c r="R67" s="1"/>
      <c r="S67" s="1"/>
      <c r="T67" s="1"/>
      <c r="U67" s="1"/>
      <c r="V67" s="1"/>
      <c r="W67" s="1"/>
      <c r="X67" s="1"/>
      <c r="Y67" s="1"/>
    </row>
    <row r="68" spans="1:25">
      <c r="A68" s="1"/>
      <c r="B68" s="1"/>
      <c r="C68" s="1"/>
      <c r="D68" s="1"/>
      <c r="E68" s="1"/>
      <c r="F68" s="1"/>
      <c r="G68" s="1"/>
      <c r="H68" s="1"/>
      <c r="I68" s="1"/>
      <c r="J68" s="1"/>
      <c r="K68" s="1"/>
      <c r="L68" s="1"/>
      <c r="M68" s="1"/>
      <c r="N68" s="1"/>
      <c r="O68" s="1"/>
      <c r="P68" s="1"/>
      <c r="Q68" s="1"/>
      <c r="R68" s="1"/>
      <c r="S68" s="1"/>
    </row>
    <row r="69" spans="1:25">
      <c r="A69" s="1"/>
      <c r="B69" s="1"/>
      <c r="C69" s="1"/>
      <c r="D69" s="1"/>
      <c r="E69" s="1"/>
      <c r="F69" s="1"/>
      <c r="G69" s="1"/>
      <c r="H69" s="1"/>
      <c r="I69" s="1"/>
      <c r="J69" s="1"/>
      <c r="K69" s="1"/>
      <c r="L69" s="1"/>
      <c r="M69" s="1"/>
      <c r="N69" s="1"/>
      <c r="O69" s="1"/>
      <c r="P69" s="1"/>
      <c r="Q69" s="1"/>
      <c r="R69" s="1"/>
      <c r="S69" s="1"/>
    </row>
    <row r="70" spans="1:25">
      <c r="A70" s="1"/>
      <c r="B70" s="1"/>
      <c r="C70" s="1"/>
      <c r="D70" s="1"/>
      <c r="E70" s="1"/>
      <c r="F70" s="1"/>
      <c r="G70" s="1"/>
      <c r="H70" s="1"/>
      <c r="I70" s="1"/>
      <c r="J70" s="1"/>
      <c r="K70" s="1"/>
      <c r="L70" s="1"/>
      <c r="M70" s="1"/>
      <c r="N70" s="1"/>
      <c r="O70" s="1"/>
      <c r="P70" s="1"/>
      <c r="Q70" s="1"/>
      <c r="R70" s="1"/>
      <c r="S70" s="1"/>
    </row>
  </sheetData>
  <sheetProtection sheet="1" objects="1" scenarios="1"/>
  <mergeCells count="54">
    <mergeCell ref="N27:N28"/>
    <mergeCell ref="O27:O28"/>
    <mergeCell ref="C37:D37"/>
    <mergeCell ref="J37:K37"/>
    <mergeCell ref="L18:O18"/>
    <mergeCell ref="A32:F32"/>
    <mergeCell ref="E25:E26"/>
    <mergeCell ref="E22:E24"/>
    <mergeCell ref="O25:O26"/>
    <mergeCell ref="O22:O24"/>
    <mergeCell ref="N25:N26"/>
    <mergeCell ref="N22:N24"/>
    <mergeCell ref="M25:M26"/>
    <mergeCell ref="M22:M24"/>
    <mergeCell ref="L25:L26"/>
    <mergeCell ref="L22:L24"/>
    <mergeCell ref="A1:V1"/>
    <mergeCell ref="A18:A19"/>
    <mergeCell ref="B18:B19"/>
    <mergeCell ref="C18:C19"/>
    <mergeCell ref="D18:D19"/>
    <mergeCell ref="F18:F19"/>
    <mergeCell ref="G18:G19"/>
    <mergeCell ref="H18:H19"/>
    <mergeCell ref="E18:E19"/>
    <mergeCell ref="A8:D8"/>
    <mergeCell ref="A6:D7"/>
    <mergeCell ref="C13:D13"/>
    <mergeCell ref="A50:B50"/>
    <mergeCell ref="A22:A24"/>
    <mergeCell ref="A25:A26"/>
    <mergeCell ref="A33:B33"/>
    <mergeCell ref="A34:B34"/>
    <mergeCell ref="A35:B35"/>
    <mergeCell ref="A45:A49"/>
    <mergeCell ref="A30:F31"/>
    <mergeCell ref="A27:A28"/>
    <mergeCell ref="E27:E28"/>
    <mergeCell ref="A36:A44"/>
    <mergeCell ref="L27:L28"/>
    <mergeCell ref="M27:M28"/>
    <mergeCell ref="H32:M32"/>
    <mergeCell ref="H33:I33"/>
    <mergeCell ref="H50:I50"/>
    <mergeCell ref="H34:I34"/>
    <mergeCell ref="H35:I35"/>
    <mergeCell ref="H45:H49"/>
    <mergeCell ref="H36:H44"/>
    <mergeCell ref="O20:O21"/>
    <mergeCell ref="A20:A21"/>
    <mergeCell ref="E20:E21"/>
    <mergeCell ref="L20:L21"/>
    <mergeCell ref="M20:M21"/>
    <mergeCell ref="N20:N21"/>
  </mergeCells>
  <dataValidations count="1">
    <dataValidation type="list" allowBlank="1" showInputMessage="1" showErrorMessage="1" sqref="B4:B5">
      <formula1>"oui,non"</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3" tint="0.39997558519241921"/>
  </sheetPr>
  <dimension ref="A1:Y50"/>
  <sheetViews>
    <sheetView workbookViewId="0">
      <selection activeCell="L23" sqref="L23"/>
    </sheetView>
  </sheetViews>
  <sheetFormatPr baseColWidth="10" defaultColWidth="8.7109375" defaultRowHeight="15"/>
  <cols>
    <col min="2" max="2" width="55.42578125" customWidth="1"/>
    <col min="3" max="3" width="13.7109375" customWidth="1"/>
    <col min="4" max="4" width="15" bestFit="1" customWidth="1"/>
    <col min="5" max="5" width="14.42578125" bestFit="1" customWidth="1"/>
  </cols>
  <sheetData>
    <row r="1" spans="1:25" s="42" customFormat="1" ht="45" customHeight="1">
      <c r="A1" s="709" t="s">
        <v>201</v>
      </c>
      <c r="B1" s="709"/>
      <c r="C1" s="709"/>
      <c r="D1" s="709"/>
      <c r="E1" s="709"/>
      <c r="F1" s="709"/>
      <c r="G1" s="709"/>
      <c r="H1" s="709"/>
      <c r="I1" s="709"/>
      <c r="J1" s="709"/>
      <c r="K1" s="709"/>
      <c r="L1" s="709"/>
      <c r="M1" s="709"/>
      <c r="N1" s="709"/>
      <c r="O1" s="709"/>
      <c r="P1" s="709"/>
      <c r="Q1" s="709"/>
      <c r="R1" s="709"/>
      <c r="S1" s="709"/>
      <c r="T1" s="709"/>
      <c r="U1" s="709"/>
      <c r="V1" s="709"/>
      <c r="W1" s="43"/>
      <c r="X1" s="43"/>
      <c r="Y1" s="43"/>
    </row>
    <row r="2" spans="1:25" s="42" customFormat="1" ht="5.25" customHeight="1">
      <c r="A2" s="11"/>
      <c r="B2" s="11"/>
      <c r="C2" s="11"/>
      <c r="D2" s="11"/>
      <c r="E2" s="11"/>
      <c r="F2" s="11"/>
      <c r="G2" s="11"/>
      <c r="H2" s="11"/>
      <c r="I2" s="11"/>
      <c r="J2" s="11"/>
      <c r="K2" s="11"/>
      <c r="L2" s="11"/>
      <c r="M2" s="11"/>
      <c r="N2" s="14"/>
      <c r="O2" s="11"/>
      <c r="P2" s="11"/>
      <c r="Q2" s="11"/>
      <c r="R2" s="11"/>
      <c r="S2" s="11"/>
      <c r="T2" s="11"/>
      <c r="U2" s="11"/>
      <c r="V2" s="11"/>
      <c r="W2" s="43"/>
      <c r="X2" s="43"/>
      <c r="Y2" s="43"/>
    </row>
    <row r="3" spans="1:25" s="42" customFormat="1">
      <c r="A3" s="297"/>
      <c r="B3" s="297"/>
      <c r="C3" s="297"/>
      <c r="D3" s="297"/>
      <c r="E3" s="297"/>
      <c r="F3" s="297"/>
      <c r="G3" s="297"/>
      <c r="H3" s="297"/>
      <c r="I3" s="4"/>
      <c r="J3" s="4"/>
      <c r="K3" s="4"/>
      <c r="L3" s="4"/>
      <c r="M3" s="4"/>
      <c r="N3" s="12"/>
      <c r="O3" s="4"/>
      <c r="P3" s="4"/>
      <c r="Q3" s="4"/>
      <c r="R3" s="4"/>
      <c r="S3" s="4"/>
      <c r="T3" s="4"/>
      <c r="U3" s="4"/>
      <c r="V3" s="4"/>
      <c r="W3" s="43"/>
      <c r="X3" s="43"/>
      <c r="Y3" s="43"/>
    </row>
    <row r="4" spans="1:25" s="76" customFormat="1" ht="15.75">
      <c r="A4" s="18" t="s">
        <v>202</v>
      </c>
      <c r="B4" s="220"/>
      <c r="C4" s="221"/>
      <c r="D4" s="221"/>
      <c r="E4" s="221"/>
      <c r="F4" s="221"/>
      <c r="G4" s="221"/>
      <c r="H4" s="221"/>
      <c r="I4" s="79"/>
      <c r="J4" s="79"/>
      <c r="K4" s="79"/>
      <c r="L4" s="79"/>
      <c r="M4" s="79"/>
      <c r="N4" s="81"/>
      <c r="O4" s="79"/>
      <c r="P4" s="79"/>
      <c r="Q4" s="79"/>
      <c r="R4" s="80"/>
      <c r="S4" s="80"/>
      <c r="T4" s="80"/>
      <c r="U4" s="80"/>
      <c r="V4" s="80"/>
      <c r="W4" s="77"/>
      <c r="X4" s="77"/>
      <c r="Y4" s="77"/>
    </row>
    <row r="5" spans="1:25" s="76" customFormat="1">
      <c r="A5" s="297"/>
      <c r="B5" s="297"/>
      <c r="C5" s="297"/>
      <c r="D5" s="297"/>
      <c r="E5" s="297"/>
      <c r="F5" s="297"/>
      <c r="G5" s="297"/>
      <c r="H5" s="297"/>
      <c r="I5" s="78"/>
      <c r="J5" s="78"/>
      <c r="K5" s="78"/>
      <c r="L5" s="78"/>
      <c r="M5" s="78"/>
      <c r="N5" s="78"/>
      <c r="O5" s="78"/>
      <c r="P5" s="78"/>
      <c r="Q5" s="78"/>
      <c r="R5" s="78"/>
      <c r="S5" s="78"/>
      <c r="T5" s="78"/>
      <c r="U5" s="78"/>
      <c r="V5" s="78"/>
    </row>
    <row r="6" spans="1:25" s="76" customFormat="1" ht="15.75">
      <c r="A6" s="297"/>
      <c r="B6" s="509"/>
      <c r="C6" s="510" t="s">
        <v>40</v>
      </c>
      <c r="D6" s="297"/>
      <c r="E6" s="297"/>
      <c r="F6" s="297"/>
      <c r="G6" s="297"/>
      <c r="H6" s="297"/>
      <c r="I6" s="78"/>
      <c r="J6" s="78"/>
      <c r="K6" s="78"/>
      <c r="L6" s="78"/>
      <c r="M6" s="78"/>
      <c r="N6" s="78"/>
      <c r="O6" s="78"/>
      <c r="P6" s="78"/>
      <c r="Q6" s="78"/>
      <c r="R6" s="78"/>
      <c r="S6" s="78"/>
      <c r="T6" s="78"/>
      <c r="U6" s="78"/>
      <c r="V6" s="78"/>
    </row>
    <row r="7" spans="1:25" s="76" customFormat="1">
      <c r="A7" s="297"/>
      <c r="B7" s="511" t="s">
        <v>203</v>
      </c>
      <c r="C7" s="82">
        <v>6924</v>
      </c>
      <c r="D7" s="512" t="s">
        <v>374</v>
      </c>
      <c r="E7" s="297"/>
      <c r="F7" s="297"/>
      <c r="G7" s="297"/>
      <c r="H7" s="297"/>
      <c r="I7" s="78"/>
      <c r="J7" s="78"/>
      <c r="K7" s="78"/>
      <c r="L7" s="78"/>
      <c r="M7" s="78"/>
      <c r="N7" s="78"/>
      <c r="O7" s="78"/>
      <c r="P7" s="78"/>
      <c r="Q7" s="78"/>
      <c r="R7" s="78"/>
      <c r="S7" s="78"/>
      <c r="T7" s="78"/>
      <c r="U7" s="78"/>
      <c r="V7" s="78"/>
    </row>
    <row r="8" spans="1:25">
      <c r="A8" s="297"/>
      <c r="B8" s="297"/>
      <c r="C8" s="297"/>
      <c r="D8" s="297"/>
      <c r="E8" s="297"/>
      <c r="F8" s="297"/>
      <c r="G8" s="297"/>
      <c r="H8" s="297"/>
      <c r="I8" s="4"/>
      <c r="J8" s="4"/>
      <c r="K8" s="4"/>
      <c r="L8" s="4"/>
      <c r="M8" s="4"/>
      <c r="N8" s="4"/>
      <c r="O8" s="4"/>
      <c r="P8" s="4"/>
      <c r="Q8" s="4"/>
      <c r="R8" s="4"/>
      <c r="S8" s="4"/>
      <c r="T8" s="4"/>
      <c r="U8" s="4"/>
      <c r="V8" s="4"/>
    </row>
    <row r="9" spans="1:25">
      <c r="A9" s="297"/>
      <c r="B9" s="297"/>
      <c r="C9" s="297"/>
      <c r="D9" s="297"/>
      <c r="E9" s="297"/>
      <c r="F9" s="297"/>
      <c r="G9" s="297"/>
      <c r="H9" s="297"/>
      <c r="I9" s="4"/>
      <c r="J9" s="4"/>
      <c r="K9" s="4"/>
      <c r="L9" s="4"/>
      <c r="M9" s="4"/>
      <c r="N9" s="4"/>
      <c r="O9" s="4"/>
      <c r="P9" s="4"/>
      <c r="Q9" s="4"/>
      <c r="R9" s="4"/>
      <c r="S9" s="4"/>
      <c r="T9" s="4"/>
      <c r="U9" s="4"/>
      <c r="V9" s="4"/>
    </row>
    <row r="10" spans="1:25">
      <c r="A10" s="297"/>
      <c r="B10" s="866" t="s">
        <v>204</v>
      </c>
      <c r="C10" s="866"/>
      <c r="D10" s="866"/>
      <c r="E10" s="297"/>
      <c r="F10" s="297"/>
      <c r="G10" s="297"/>
      <c r="H10" s="297"/>
      <c r="I10" s="4"/>
      <c r="J10" s="4"/>
      <c r="K10" s="4"/>
      <c r="L10" s="4"/>
      <c r="M10" s="4"/>
      <c r="N10" s="4"/>
      <c r="O10" s="4"/>
      <c r="P10" s="4"/>
      <c r="Q10" s="4"/>
      <c r="R10" s="4"/>
      <c r="S10" s="4"/>
      <c r="T10" s="4"/>
      <c r="U10" s="4"/>
      <c r="V10" s="4"/>
    </row>
    <row r="11" spans="1:25">
      <c r="A11" s="297"/>
      <c r="B11" s="513" t="s">
        <v>64</v>
      </c>
      <c r="C11" s="514">
        <f>C7</f>
        <v>6924</v>
      </c>
      <c r="D11" s="515" t="s">
        <v>40</v>
      </c>
      <c r="E11" s="297"/>
      <c r="F11" s="297"/>
      <c r="G11" s="297"/>
      <c r="H11" s="297"/>
      <c r="I11" s="4"/>
      <c r="J11" s="4"/>
      <c r="K11" s="4"/>
      <c r="L11" s="4"/>
      <c r="M11" s="4"/>
      <c r="N11" s="4"/>
      <c r="O11" s="4"/>
      <c r="P11" s="4"/>
      <c r="Q11" s="4"/>
      <c r="R11" s="4"/>
      <c r="S11" s="4"/>
      <c r="T11" s="4"/>
      <c r="U11" s="4"/>
      <c r="V11" s="4"/>
    </row>
    <row r="12" spans="1:25">
      <c r="A12" s="297"/>
      <c r="B12" s="516" t="s">
        <v>205</v>
      </c>
      <c r="C12" s="517">
        <v>0.5</v>
      </c>
      <c r="D12" s="518" t="s">
        <v>41</v>
      </c>
      <c r="E12" s="297"/>
      <c r="F12" s="297"/>
      <c r="G12" s="297"/>
      <c r="H12" s="297"/>
      <c r="I12" s="4"/>
      <c r="J12" s="4"/>
      <c r="K12" s="4"/>
      <c r="L12" s="4"/>
      <c r="M12" s="4"/>
      <c r="N12" s="4"/>
      <c r="O12" s="4"/>
      <c r="P12" s="4"/>
      <c r="Q12" s="4"/>
      <c r="R12" s="4"/>
      <c r="S12" s="4"/>
      <c r="T12" s="4"/>
      <c r="U12" s="4"/>
      <c r="V12" s="4"/>
    </row>
    <row r="13" spans="1:25">
      <c r="A13" s="297"/>
      <c r="B13" s="519" t="s">
        <v>65</v>
      </c>
      <c r="C13" s="520">
        <v>0.25</v>
      </c>
      <c r="D13" s="521" t="s">
        <v>42</v>
      </c>
      <c r="E13" s="297"/>
      <c r="F13" s="297"/>
      <c r="G13" s="297"/>
      <c r="H13" s="297"/>
      <c r="I13" s="4"/>
      <c r="J13" s="4"/>
      <c r="K13" s="4"/>
      <c r="L13" s="4"/>
      <c r="M13" s="4"/>
      <c r="N13" s="4"/>
      <c r="O13" s="4"/>
      <c r="P13" s="4"/>
      <c r="Q13" s="4"/>
      <c r="R13" s="4"/>
      <c r="S13" s="4"/>
      <c r="T13" s="4"/>
      <c r="U13" s="4"/>
      <c r="V13" s="4"/>
    </row>
    <row r="14" spans="1:25">
      <c r="A14" s="297"/>
      <c r="B14" s="522" t="s">
        <v>206</v>
      </c>
      <c r="C14" s="523">
        <v>1</v>
      </c>
      <c r="D14" s="297"/>
      <c r="E14" s="297"/>
      <c r="F14" s="297"/>
      <c r="G14" s="297"/>
      <c r="H14" s="297"/>
      <c r="I14" s="4"/>
      <c r="J14" s="4"/>
      <c r="K14" s="4"/>
      <c r="L14" s="4"/>
      <c r="M14" s="4"/>
      <c r="N14" s="4"/>
      <c r="O14" s="4"/>
      <c r="P14" s="4"/>
      <c r="Q14" s="4"/>
      <c r="R14" s="4"/>
      <c r="S14" s="4"/>
      <c r="T14" s="4"/>
      <c r="U14" s="4"/>
      <c r="V14" s="4"/>
    </row>
    <row r="15" spans="1:25">
      <c r="A15" s="297"/>
      <c r="B15" s="516" t="s">
        <v>207</v>
      </c>
      <c r="C15" s="516">
        <v>0</v>
      </c>
      <c r="D15" s="297"/>
      <c r="E15" s="297"/>
      <c r="F15" s="297"/>
      <c r="G15" s="297"/>
      <c r="H15" s="297"/>
      <c r="I15" s="4"/>
      <c r="J15" s="4"/>
      <c r="K15" s="4"/>
      <c r="L15" s="4"/>
      <c r="M15" s="4"/>
      <c r="N15" s="4"/>
      <c r="O15" s="4"/>
      <c r="P15" s="4"/>
      <c r="Q15" s="4"/>
      <c r="R15" s="4"/>
      <c r="S15" s="4"/>
      <c r="T15" s="4"/>
      <c r="U15" s="4"/>
      <c r="V15" s="4"/>
    </row>
    <row r="16" spans="1:25">
      <c r="A16" s="297"/>
      <c r="B16" s="519" t="s">
        <v>66</v>
      </c>
      <c r="C16" s="520">
        <v>25</v>
      </c>
      <c r="D16" s="521" t="s">
        <v>43</v>
      </c>
      <c r="E16" s="297"/>
      <c r="F16" s="297"/>
      <c r="G16" s="297"/>
      <c r="H16" s="297"/>
      <c r="I16" s="4"/>
      <c r="J16" s="4"/>
      <c r="K16" s="4"/>
      <c r="L16" s="4"/>
      <c r="M16" s="4"/>
      <c r="N16" s="4"/>
      <c r="O16" s="4"/>
      <c r="P16" s="4"/>
      <c r="Q16" s="4"/>
      <c r="R16" s="4"/>
      <c r="S16" s="4"/>
      <c r="T16" s="4"/>
      <c r="U16" s="4"/>
      <c r="V16" s="4"/>
    </row>
    <row r="17" spans="1:22">
      <c r="A17" s="297"/>
      <c r="B17" s="522" t="s">
        <v>208</v>
      </c>
      <c r="C17" s="524">
        <f>C11*C12*C13*C14/1000</f>
        <v>0.86550000000000005</v>
      </c>
      <c r="D17" s="515" t="s">
        <v>44</v>
      </c>
      <c r="E17" s="297"/>
      <c r="F17" s="297"/>
      <c r="G17" s="297"/>
      <c r="H17" s="297"/>
      <c r="I17" s="4"/>
      <c r="J17" s="4"/>
      <c r="K17" s="4"/>
      <c r="L17" s="4"/>
      <c r="M17" s="4"/>
      <c r="N17" s="4"/>
      <c r="O17" s="4"/>
      <c r="P17" s="4"/>
      <c r="Q17" s="4"/>
      <c r="R17" s="4"/>
      <c r="S17" s="4"/>
      <c r="T17" s="4"/>
      <c r="U17" s="4"/>
      <c r="V17" s="4"/>
    </row>
    <row r="18" spans="1:22" ht="15.75">
      <c r="A18" s="297"/>
      <c r="B18" s="516" t="s">
        <v>209</v>
      </c>
      <c r="C18" s="525">
        <f>C17*C16</f>
        <v>21.637500000000003</v>
      </c>
      <c r="D18" s="526" t="s">
        <v>45</v>
      </c>
      <c r="E18" s="297"/>
      <c r="F18" s="297"/>
      <c r="G18" s="297"/>
      <c r="H18" s="297"/>
      <c r="I18" s="4"/>
      <c r="J18" s="4"/>
      <c r="K18" s="4"/>
      <c r="L18" s="4"/>
      <c r="M18" s="4"/>
      <c r="N18" s="4"/>
      <c r="O18" s="4"/>
      <c r="P18" s="4"/>
      <c r="Q18" s="4"/>
      <c r="R18" s="4"/>
      <c r="S18" s="4"/>
      <c r="T18" s="4"/>
      <c r="U18" s="4"/>
      <c r="V18" s="4"/>
    </row>
    <row r="19" spans="1:22">
      <c r="A19" s="297"/>
      <c r="B19" s="519" t="s">
        <v>385</v>
      </c>
      <c r="C19" s="527">
        <f>C11*C12</f>
        <v>3462</v>
      </c>
      <c r="D19" s="521" t="s">
        <v>46</v>
      </c>
      <c r="E19" s="297"/>
      <c r="F19" s="297"/>
      <c r="G19" s="297"/>
      <c r="H19" s="297"/>
      <c r="I19" s="4"/>
      <c r="J19" s="4"/>
      <c r="K19" s="4"/>
      <c r="L19" s="4"/>
      <c r="M19" s="4"/>
      <c r="N19" s="4"/>
      <c r="O19" s="4"/>
      <c r="P19" s="4"/>
      <c r="Q19" s="4"/>
      <c r="R19" s="4"/>
      <c r="S19" s="4"/>
      <c r="T19" s="4"/>
      <c r="U19" s="4"/>
      <c r="V19" s="4"/>
    </row>
    <row r="20" spans="1:22">
      <c r="A20" s="297"/>
      <c r="B20" s="297"/>
      <c r="C20" s="297"/>
      <c r="D20" s="297"/>
      <c r="E20" s="297"/>
      <c r="F20" s="297"/>
      <c r="G20" s="297"/>
      <c r="H20" s="297"/>
      <c r="I20" s="4"/>
      <c r="J20" s="4"/>
      <c r="K20" s="4"/>
      <c r="L20" s="4"/>
      <c r="M20" s="4"/>
      <c r="N20" s="4"/>
      <c r="O20" s="4"/>
      <c r="P20" s="4"/>
      <c r="Q20" s="4"/>
      <c r="R20" s="4"/>
      <c r="S20" s="4"/>
      <c r="T20" s="4"/>
      <c r="U20" s="4"/>
      <c r="V20" s="4"/>
    </row>
    <row r="21" spans="1:22">
      <c r="A21" s="297"/>
      <c r="B21" s="297"/>
      <c r="C21" s="297"/>
      <c r="D21" s="297"/>
      <c r="E21" s="297"/>
      <c r="F21" s="297"/>
      <c r="G21" s="297"/>
      <c r="H21" s="297"/>
      <c r="I21" s="4"/>
      <c r="J21" s="4"/>
      <c r="K21" s="4"/>
      <c r="L21" s="4"/>
      <c r="M21" s="4"/>
      <c r="N21" s="4"/>
      <c r="O21" s="4"/>
      <c r="P21" s="4"/>
      <c r="Q21" s="4"/>
      <c r="R21" s="4"/>
      <c r="S21" s="4"/>
      <c r="T21" s="4"/>
      <c r="U21" s="4"/>
      <c r="V21" s="4"/>
    </row>
    <row r="22" spans="1:22">
      <c r="A22" s="297"/>
      <c r="B22" s="297"/>
      <c r="C22" s="297"/>
      <c r="D22" s="297"/>
      <c r="E22" s="297"/>
      <c r="F22" s="297"/>
      <c r="G22" s="297"/>
      <c r="H22" s="297"/>
      <c r="I22" s="69"/>
      <c r="J22" s="69"/>
      <c r="K22" s="69"/>
      <c r="L22" s="69"/>
      <c r="M22" s="69"/>
      <c r="N22" s="69"/>
      <c r="O22" s="69"/>
      <c r="P22" s="69"/>
      <c r="Q22" s="69"/>
      <c r="R22" s="69"/>
      <c r="S22" s="69"/>
      <c r="T22" s="69"/>
      <c r="U22" s="69"/>
      <c r="V22" s="69"/>
    </row>
    <row r="23" spans="1:22">
      <c r="A23" s="297"/>
      <c r="B23" s="297"/>
      <c r="C23" s="297"/>
      <c r="D23" s="297"/>
      <c r="E23" s="297"/>
      <c r="F23" s="297"/>
      <c r="G23" s="297"/>
      <c r="H23" s="297"/>
      <c r="I23" s="69"/>
      <c r="J23" s="69"/>
      <c r="K23" s="69"/>
      <c r="L23" s="69"/>
      <c r="M23" s="69"/>
      <c r="N23" s="69"/>
      <c r="O23" s="69"/>
      <c r="P23" s="69"/>
      <c r="Q23" s="69"/>
      <c r="R23" s="69"/>
      <c r="S23" s="69"/>
      <c r="T23" s="69"/>
      <c r="U23" s="69"/>
      <c r="V23" s="69"/>
    </row>
    <row r="24" spans="1:22">
      <c r="A24" s="297"/>
      <c r="B24" s="297"/>
      <c r="C24" s="297"/>
      <c r="D24" s="297"/>
      <c r="E24" s="297"/>
      <c r="F24" s="297"/>
      <c r="G24" s="297"/>
      <c r="H24" s="297"/>
      <c r="I24" s="69"/>
      <c r="J24" s="69"/>
      <c r="K24" s="69"/>
      <c r="L24" s="69"/>
      <c r="M24" s="69"/>
      <c r="N24" s="69"/>
      <c r="O24" s="69"/>
      <c r="P24" s="69"/>
      <c r="Q24" s="69"/>
      <c r="R24" s="69"/>
      <c r="S24" s="69"/>
      <c r="T24" s="69"/>
      <c r="U24" s="69"/>
      <c r="V24" s="69"/>
    </row>
    <row r="25" spans="1:22">
      <c r="A25" s="297"/>
      <c r="B25" s="297"/>
      <c r="C25" s="297"/>
      <c r="D25" s="297"/>
      <c r="E25" s="297"/>
      <c r="F25" s="297"/>
      <c r="G25" s="297"/>
      <c r="H25" s="297"/>
      <c r="I25" s="69"/>
      <c r="J25" s="69"/>
      <c r="K25" s="69"/>
      <c r="L25" s="69"/>
      <c r="M25" s="69"/>
      <c r="N25" s="69"/>
      <c r="O25" s="69"/>
      <c r="P25" s="69"/>
      <c r="Q25" s="69"/>
      <c r="R25" s="69"/>
      <c r="S25" s="69"/>
      <c r="T25" s="69"/>
      <c r="U25" s="69"/>
      <c r="V25" s="69"/>
    </row>
    <row r="26" spans="1:22">
      <c r="A26" s="297"/>
      <c r="B26" s="297"/>
      <c r="C26" s="297"/>
      <c r="D26" s="297"/>
      <c r="E26" s="297"/>
      <c r="F26" s="297"/>
      <c r="G26" s="297"/>
      <c r="H26" s="297"/>
      <c r="I26" s="69"/>
      <c r="J26" s="69"/>
      <c r="K26" s="69"/>
      <c r="L26" s="69"/>
      <c r="M26" s="69"/>
      <c r="N26" s="69"/>
      <c r="O26" s="69"/>
      <c r="P26" s="69"/>
      <c r="Q26" s="69"/>
      <c r="R26" s="69"/>
      <c r="S26" s="69"/>
      <c r="T26" s="69"/>
      <c r="U26" s="69"/>
      <c r="V26" s="69"/>
    </row>
    <row r="27" spans="1:22">
      <c r="A27" s="297"/>
      <c r="B27" s="297"/>
      <c r="C27" s="297"/>
      <c r="D27" s="297"/>
      <c r="E27" s="297"/>
      <c r="F27" s="297"/>
      <c r="G27" s="297"/>
      <c r="H27" s="297"/>
      <c r="I27" s="69"/>
      <c r="J27" s="69"/>
      <c r="K27" s="69"/>
      <c r="L27" s="69"/>
      <c r="M27" s="69"/>
      <c r="N27" s="69"/>
      <c r="O27" s="69"/>
      <c r="P27" s="69"/>
      <c r="Q27" s="69"/>
      <c r="R27" s="69"/>
      <c r="S27" s="69"/>
      <c r="T27" s="69"/>
      <c r="U27" s="69"/>
      <c r="V27" s="69"/>
    </row>
    <row r="28" spans="1:22">
      <c r="A28" s="297"/>
      <c r="B28" s="297"/>
      <c r="C28" s="297"/>
      <c r="D28" s="297"/>
      <c r="E28" s="297"/>
      <c r="F28" s="297"/>
      <c r="G28" s="297"/>
      <c r="H28" s="297"/>
      <c r="I28" s="69"/>
      <c r="J28" s="69"/>
      <c r="K28" s="69"/>
      <c r="L28" s="69"/>
      <c r="M28" s="69"/>
      <c r="N28" s="69"/>
      <c r="O28" s="69"/>
      <c r="P28" s="69"/>
      <c r="Q28" s="69"/>
      <c r="R28" s="69"/>
      <c r="S28" s="69"/>
      <c r="T28" s="69"/>
      <c r="U28" s="69"/>
      <c r="V28" s="69"/>
    </row>
    <row r="29" spans="1:22">
      <c r="A29" s="297"/>
      <c r="B29" s="297"/>
      <c r="C29" s="297"/>
      <c r="D29" s="297"/>
      <c r="E29" s="297"/>
      <c r="F29" s="297"/>
      <c r="G29" s="297"/>
      <c r="H29" s="297"/>
      <c r="I29" s="69"/>
      <c r="J29" s="69"/>
      <c r="K29" s="69"/>
      <c r="L29" s="69"/>
      <c r="M29" s="69"/>
      <c r="N29" s="69"/>
      <c r="O29" s="69"/>
      <c r="P29" s="69"/>
      <c r="Q29" s="69"/>
      <c r="R29" s="69"/>
      <c r="S29" s="69"/>
      <c r="T29" s="69"/>
      <c r="U29" s="69"/>
      <c r="V29" s="69"/>
    </row>
    <row r="30" spans="1:22">
      <c r="A30" s="69"/>
      <c r="B30" s="69"/>
      <c r="C30" s="69"/>
      <c r="D30" s="69"/>
      <c r="E30" s="69"/>
      <c r="F30" s="69"/>
      <c r="G30" s="69"/>
      <c r="H30" s="69"/>
      <c r="I30" s="69"/>
      <c r="J30" s="69"/>
      <c r="K30" s="69"/>
      <c r="L30" s="69"/>
      <c r="M30" s="69"/>
      <c r="N30" s="69"/>
      <c r="O30" s="69"/>
      <c r="P30" s="69"/>
      <c r="Q30" s="69"/>
      <c r="R30" s="69"/>
      <c r="S30" s="69"/>
      <c r="T30" s="69"/>
      <c r="U30" s="69"/>
      <c r="V30" s="69"/>
    </row>
    <row r="31" spans="1:22">
      <c r="A31" s="69"/>
      <c r="B31" s="69"/>
      <c r="C31" s="69"/>
      <c r="D31" s="69"/>
      <c r="E31" s="69"/>
      <c r="F31" s="69"/>
      <c r="G31" s="69"/>
      <c r="H31" s="69"/>
      <c r="I31" s="69"/>
      <c r="J31" s="69"/>
      <c r="K31" s="69"/>
      <c r="L31" s="69"/>
      <c r="M31" s="69"/>
      <c r="N31" s="69"/>
      <c r="O31" s="69"/>
      <c r="P31" s="69"/>
      <c r="Q31" s="69"/>
      <c r="R31" s="69"/>
      <c r="S31" s="69"/>
      <c r="T31" s="69"/>
      <c r="U31" s="69"/>
      <c r="V31" s="69"/>
    </row>
    <row r="32" spans="1:22">
      <c r="A32" s="69"/>
      <c r="B32" s="69"/>
      <c r="C32" s="69"/>
      <c r="D32" s="69"/>
      <c r="E32" s="69"/>
      <c r="F32" s="69"/>
      <c r="G32" s="69"/>
      <c r="H32" s="69"/>
      <c r="I32" s="69"/>
      <c r="J32" s="69"/>
      <c r="K32" s="69"/>
      <c r="L32" s="69"/>
      <c r="M32" s="69"/>
      <c r="N32" s="69"/>
      <c r="O32" s="69"/>
      <c r="P32" s="69"/>
      <c r="Q32" s="69"/>
      <c r="R32" s="69"/>
      <c r="S32" s="69"/>
      <c r="T32" s="69"/>
      <c r="U32" s="69"/>
      <c r="V32" s="69"/>
    </row>
    <row r="33" spans="1:22">
      <c r="A33" s="69"/>
      <c r="B33" s="69"/>
      <c r="C33" s="69"/>
      <c r="D33" s="69"/>
      <c r="E33" s="69"/>
      <c r="F33" s="69"/>
      <c r="G33" s="69"/>
      <c r="H33" s="69"/>
      <c r="I33" s="69"/>
      <c r="J33" s="69"/>
      <c r="K33" s="69"/>
      <c r="L33" s="69"/>
      <c r="M33" s="69"/>
      <c r="N33" s="69"/>
      <c r="O33" s="69"/>
      <c r="P33" s="69"/>
      <c r="Q33" s="69"/>
      <c r="R33" s="69"/>
      <c r="S33" s="69"/>
      <c r="T33" s="69"/>
      <c r="U33" s="69"/>
      <c r="V33" s="69"/>
    </row>
    <row r="34" spans="1:22">
      <c r="A34" s="69"/>
      <c r="B34" s="69"/>
      <c r="C34" s="69"/>
      <c r="D34" s="69"/>
      <c r="E34" s="69"/>
      <c r="F34" s="69"/>
      <c r="G34" s="69"/>
      <c r="H34" s="69"/>
      <c r="I34" s="69"/>
      <c r="J34" s="69"/>
      <c r="K34" s="69"/>
      <c r="L34" s="69"/>
      <c r="M34" s="69"/>
      <c r="N34" s="69"/>
      <c r="O34" s="69"/>
      <c r="P34" s="69"/>
      <c r="Q34" s="69"/>
      <c r="R34" s="69"/>
      <c r="S34" s="69"/>
      <c r="T34" s="69"/>
      <c r="U34" s="69"/>
      <c r="V34" s="69"/>
    </row>
    <row r="35" spans="1:22">
      <c r="A35" s="69"/>
      <c r="B35" s="69"/>
      <c r="C35" s="69"/>
      <c r="D35" s="69"/>
      <c r="E35" s="69"/>
      <c r="F35" s="69"/>
      <c r="G35" s="69"/>
      <c r="H35" s="69"/>
      <c r="I35" s="69"/>
      <c r="J35" s="69"/>
      <c r="K35" s="69"/>
      <c r="L35" s="69"/>
      <c r="M35" s="69"/>
      <c r="N35" s="69"/>
      <c r="O35" s="69"/>
      <c r="P35" s="69"/>
      <c r="Q35" s="69"/>
      <c r="R35" s="69"/>
      <c r="S35" s="69"/>
      <c r="T35" s="69"/>
      <c r="U35" s="69"/>
      <c r="V35" s="69"/>
    </row>
    <row r="36" spans="1:22">
      <c r="A36" s="69"/>
      <c r="B36" s="69"/>
      <c r="C36" s="69"/>
      <c r="D36" s="69"/>
      <c r="E36" s="69"/>
      <c r="F36" s="69"/>
      <c r="G36" s="69"/>
      <c r="H36" s="69"/>
      <c r="I36" s="69"/>
      <c r="J36" s="69"/>
      <c r="K36" s="69"/>
      <c r="L36" s="69"/>
      <c r="M36" s="69"/>
      <c r="N36" s="69"/>
      <c r="O36" s="69"/>
      <c r="P36" s="69"/>
      <c r="Q36" s="69"/>
      <c r="R36" s="69"/>
      <c r="S36" s="69"/>
      <c r="T36" s="69"/>
      <c r="U36" s="69"/>
      <c r="V36" s="69"/>
    </row>
    <row r="37" spans="1:22">
      <c r="A37" s="69"/>
      <c r="B37" s="69"/>
      <c r="C37" s="69"/>
      <c r="D37" s="69"/>
      <c r="E37" s="69"/>
      <c r="F37" s="69"/>
      <c r="G37" s="69"/>
      <c r="H37" s="69"/>
      <c r="I37" s="69"/>
      <c r="J37" s="69"/>
      <c r="K37" s="69"/>
      <c r="L37" s="69"/>
      <c r="M37" s="69"/>
      <c r="N37" s="69"/>
      <c r="O37" s="69"/>
      <c r="P37" s="69"/>
      <c r="Q37" s="69"/>
      <c r="R37" s="69"/>
      <c r="S37" s="69"/>
      <c r="T37" s="69"/>
      <c r="U37" s="69"/>
      <c r="V37" s="69"/>
    </row>
    <row r="38" spans="1:22">
      <c r="A38" s="69"/>
      <c r="B38" s="69"/>
      <c r="C38" s="69"/>
      <c r="D38" s="69"/>
      <c r="E38" s="69"/>
      <c r="F38" s="69"/>
      <c r="G38" s="69"/>
      <c r="H38" s="69"/>
      <c r="I38" s="69"/>
      <c r="J38" s="69"/>
      <c r="K38" s="69"/>
      <c r="L38" s="69"/>
      <c r="M38" s="69"/>
      <c r="N38" s="69"/>
      <c r="O38" s="69"/>
      <c r="P38" s="69"/>
      <c r="Q38" s="69"/>
      <c r="R38" s="69"/>
      <c r="S38" s="69"/>
      <c r="T38" s="69"/>
      <c r="U38" s="69"/>
      <c r="V38" s="69"/>
    </row>
    <row r="39" spans="1:22">
      <c r="A39" s="69"/>
      <c r="B39" s="69"/>
      <c r="C39" s="69"/>
      <c r="D39" s="69"/>
      <c r="E39" s="69"/>
      <c r="F39" s="69"/>
      <c r="G39" s="69"/>
      <c r="H39" s="69"/>
      <c r="I39" s="69"/>
      <c r="J39" s="69"/>
      <c r="K39" s="69"/>
      <c r="L39" s="69"/>
      <c r="M39" s="69"/>
      <c r="N39" s="69"/>
      <c r="O39" s="69"/>
      <c r="P39" s="69"/>
      <c r="Q39" s="69"/>
      <c r="R39" s="69"/>
      <c r="S39" s="69"/>
      <c r="T39" s="69"/>
      <c r="U39" s="69"/>
      <c r="V39" s="69"/>
    </row>
    <row r="40" spans="1:22">
      <c r="A40" s="69"/>
      <c r="B40" s="69"/>
      <c r="C40" s="69"/>
      <c r="D40" s="69"/>
      <c r="E40" s="69"/>
      <c r="F40" s="69"/>
      <c r="G40" s="69"/>
      <c r="H40" s="69"/>
      <c r="I40" s="69"/>
      <c r="J40" s="69"/>
      <c r="K40" s="69"/>
      <c r="L40" s="69"/>
      <c r="M40" s="69"/>
      <c r="N40" s="69"/>
      <c r="O40" s="69"/>
      <c r="P40" s="69"/>
      <c r="Q40" s="69"/>
      <c r="R40" s="69"/>
      <c r="S40" s="69"/>
      <c r="T40" s="69"/>
      <c r="U40" s="69"/>
      <c r="V40" s="69"/>
    </row>
    <row r="41" spans="1:22">
      <c r="A41" s="69"/>
      <c r="B41" s="69"/>
      <c r="C41" s="69"/>
      <c r="D41" s="69"/>
      <c r="E41" s="69"/>
      <c r="F41" s="69"/>
      <c r="G41" s="69"/>
      <c r="H41" s="69"/>
      <c r="I41" s="69"/>
      <c r="J41" s="69"/>
      <c r="K41" s="69"/>
      <c r="L41" s="69"/>
      <c r="M41" s="69"/>
      <c r="N41" s="69"/>
      <c r="O41" s="69"/>
      <c r="P41" s="69"/>
      <c r="Q41" s="69"/>
      <c r="R41" s="69"/>
      <c r="S41" s="69"/>
      <c r="T41" s="69"/>
      <c r="U41" s="69"/>
      <c r="V41" s="69"/>
    </row>
    <row r="42" spans="1:22">
      <c r="A42" s="69"/>
      <c r="B42" s="69"/>
      <c r="C42" s="69"/>
      <c r="D42" s="69"/>
      <c r="E42" s="69"/>
      <c r="F42" s="69"/>
      <c r="G42" s="69"/>
      <c r="H42" s="69"/>
      <c r="I42" s="69"/>
      <c r="J42" s="69"/>
      <c r="K42" s="69"/>
      <c r="L42" s="69"/>
      <c r="M42" s="69"/>
      <c r="N42" s="69"/>
      <c r="O42" s="69"/>
      <c r="P42" s="69"/>
      <c r="Q42" s="69"/>
      <c r="R42" s="69"/>
      <c r="S42" s="69"/>
      <c r="T42" s="69"/>
      <c r="U42" s="69"/>
      <c r="V42" s="69"/>
    </row>
    <row r="43" spans="1:22">
      <c r="A43" s="69"/>
      <c r="B43" s="69"/>
      <c r="C43" s="69"/>
      <c r="D43" s="69"/>
      <c r="E43" s="69"/>
      <c r="F43" s="69"/>
      <c r="G43" s="69"/>
      <c r="H43" s="69"/>
      <c r="I43" s="69"/>
      <c r="J43" s="69"/>
      <c r="K43" s="69"/>
      <c r="L43" s="69"/>
      <c r="M43" s="69"/>
      <c r="N43" s="69"/>
      <c r="O43" s="69"/>
      <c r="P43" s="69"/>
      <c r="Q43" s="69"/>
      <c r="R43" s="69"/>
      <c r="S43" s="69"/>
      <c r="T43" s="69"/>
      <c r="U43" s="69"/>
      <c r="V43" s="69"/>
    </row>
    <row r="44" spans="1:22">
      <c r="A44" s="69"/>
      <c r="B44" s="69"/>
      <c r="C44" s="69"/>
      <c r="D44" s="69"/>
      <c r="E44" s="69"/>
      <c r="F44" s="69"/>
      <c r="G44" s="69"/>
      <c r="H44" s="69"/>
      <c r="I44" s="69"/>
      <c r="J44" s="69"/>
      <c r="K44" s="69"/>
      <c r="L44" s="69"/>
      <c r="M44" s="69"/>
      <c r="N44" s="69"/>
      <c r="O44" s="69"/>
      <c r="P44" s="69"/>
      <c r="Q44" s="69"/>
      <c r="R44" s="69"/>
      <c r="S44" s="69"/>
      <c r="T44" s="69"/>
      <c r="U44" s="69"/>
      <c r="V44" s="69"/>
    </row>
    <row r="45" spans="1:22">
      <c r="A45" s="69"/>
      <c r="B45" s="69"/>
      <c r="C45" s="69"/>
      <c r="D45" s="69"/>
      <c r="E45" s="69"/>
      <c r="F45" s="69"/>
      <c r="G45" s="69"/>
      <c r="H45" s="69"/>
      <c r="I45" s="69"/>
      <c r="J45" s="69"/>
      <c r="K45" s="69"/>
      <c r="L45" s="69"/>
      <c r="M45" s="69"/>
      <c r="N45" s="69"/>
      <c r="O45" s="69"/>
      <c r="P45" s="69"/>
      <c r="Q45" s="69"/>
      <c r="R45" s="69"/>
      <c r="S45" s="69"/>
      <c r="T45" s="69"/>
      <c r="U45" s="69"/>
      <c r="V45" s="69"/>
    </row>
    <row r="46" spans="1:22">
      <c r="A46" s="69"/>
      <c r="B46" s="69"/>
      <c r="C46" s="69"/>
      <c r="D46" s="69"/>
      <c r="E46" s="69"/>
      <c r="F46" s="69"/>
      <c r="G46" s="69"/>
      <c r="H46" s="69"/>
      <c r="I46" s="69"/>
      <c r="J46" s="69"/>
      <c r="K46" s="69"/>
      <c r="L46" s="69"/>
      <c r="M46" s="69"/>
      <c r="N46" s="69"/>
      <c r="O46" s="69"/>
      <c r="P46" s="69"/>
      <c r="Q46" s="69"/>
      <c r="R46" s="69"/>
      <c r="S46" s="69"/>
      <c r="T46" s="69"/>
      <c r="U46" s="69"/>
      <c r="V46" s="69"/>
    </row>
    <row r="47" spans="1:22">
      <c r="A47" s="69"/>
      <c r="B47" s="69"/>
      <c r="C47" s="69"/>
      <c r="D47" s="69"/>
      <c r="E47" s="69"/>
      <c r="F47" s="69"/>
      <c r="G47" s="69"/>
      <c r="H47" s="69"/>
      <c r="I47" s="69"/>
      <c r="J47" s="69"/>
      <c r="K47" s="69"/>
      <c r="L47" s="69"/>
      <c r="M47" s="69"/>
      <c r="N47" s="69"/>
      <c r="O47" s="69"/>
      <c r="P47" s="69"/>
      <c r="Q47" s="69"/>
      <c r="R47" s="69"/>
      <c r="S47" s="69"/>
      <c r="T47" s="69"/>
      <c r="U47" s="69"/>
      <c r="V47" s="69"/>
    </row>
    <row r="48" spans="1:22">
      <c r="A48" s="69"/>
      <c r="B48" s="69"/>
      <c r="C48" s="69"/>
      <c r="D48" s="69"/>
      <c r="E48" s="69"/>
      <c r="F48" s="69"/>
      <c r="G48" s="69"/>
      <c r="H48" s="69"/>
      <c r="I48" s="69"/>
      <c r="J48" s="69"/>
      <c r="K48" s="69"/>
      <c r="L48" s="69"/>
      <c r="M48" s="69"/>
      <c r="N48" s="69"/>
      <c r="O48" s="69"/>
      <c r="P48" s="69"/>
      <c r="Q48" s="69"/>
      <c r="R48" s="69"/>
      <c r="S48" s="69"/>
      <c r="T48" s="69"/>
      <c r="U48" s="69"/>
      <c r="V48" s="69"/>
    </row>
    <row r="49" spans="1:22">
      <c r="A49" s="69"/>
      <c r="B49" s="69"/>
      <c r="C49" s="69"/>
      <c r="D49" s="69"/>
      <c r="E49" s="69"/>
      <c r="F49" s="69"/>
      <c r="G49" s="69"/>
      <c r="H49" s="69"/>
      <c r="I49" s="69"/>
      <c r="J49" s="69"/>
      <c r="K49" s="69"/>
      <c r="L49" s="69"/>
      <c r="M49" s="69"/>
      <c r="N49" s="69"/>
      <c r="O49" s="69"/>
      <c r="P49" s="69"/>
      <c r="Q49" s="69"/>
      <c r="R49" s="69"/>
      <c r="S49" s="69"/>
      <c r="T49" s="69"/>
      <c r="U49" s="69"/>
      <c r="V49" s="69"/>
    </row>
    <row r="50" spans="1:22">
      <c r="A50" s="69"/>
      <c r="B50" s="69"/>
      <c r="C50" s="69"/>
      <c r="D50" s="69"/>
      <c r="E50" s="69"/>
      <c r="F50" s="69"/>
      <c r="G50" s="69"/>
      <c r="H50" s="69"/>
      <c r="I50" s="69"/>
      <c r="J50" s="69"/>
      <c r="K50" s="69"/>
      <c r="L50" s="69"/>
      <c r="M50" s="69"/>
      <c r="N50" s="69"/>
      <c r="O50" s="69"/>
      <c r="P50" s="69"/>
      <c r="Q50" s="69"/>
      <c r="R50" s="69"/>
      <c r="S50" s="69"/>
      <c r="T50" s="69"/>
      <c r="U50" s="69"/>
      <c r="V50" s="69"/>
    </row>
  </sheetData>
  <sheetProtection password="CC6F" sheet="1" objects="1" scenarios="1"/>
  <mergeCells count="2">
    <mergeCell ref="A1:V1"/>
    <mergeCell ref="B10:D10"/>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0000"/>
  </sheetPr>
  <dimension ref="A1:AC54"/>
  <sheetViews>
    <sheetView topLeftCell="A13" zoomScale="70" zoomScaleNormal="70" workbookViewId="0">
      <selection activeCell="T47" sqref="T47"/>
    </sheetView>
  </sheetViews>
  <sheetFormatPr baseColWidth="10" defaultColWidth="8.7109375" defaultRowHeight="15"/>
  <cols>
    <col min="1" max="1" width="28.42578125" customWidth="1"/>
    <col min="2" max="2" width="24.5703125" customWidth="1"/>
    <col min="3" max="3" width="14" customWidth="1"/>
    <col min="4" max="4" width="12.28515625" customWidth="1"/>
    <col min="5" max="5" width="11.85546875" customWidth="1"/>
    <col min="6" max="6" width="13.7109375" customWidth="1"/>
    <col min="7" max="7" width="15.42578125" customWidth="1"/>
    <col min="8" max="9" width="11.28515625" customWidth="1"/>
    <col min="10" max="10" width="11.28515625" style="76" customWidth="1"/>
    <col min="11" max="12" width="11.28515625" customWidth="1"/>
    <col min="13" max="13" width="16" customWidth="1"/>
    <col min="14" max="14" width="16" style="76" customWidth="1"/>
    <col min="15" max="15" width="15" customWidth="1"/>
    <col min="16" max="16" width="12" customWidth="1"/>
    <col min="17" max="17" width="18.28515625" customWidth="1"/>
    <col min="18" max="18" width="16.28515625" customWidth="1"/>
    <col min="19" max="19" width="19" customWidth="1"/>
    <col min="20" max="20" width="15.5703125" customWidth="1"/>
    <col min="21" max="21" width="10.7109375" customWidth="1"/>
    <col min="22" max="22" width="13" customWidth="1"/>
    <col min="23" max="23" width="26.140625" customWidth="1"/>
    <col min="24" max="24" width="20.5703125" customWidth="1"/>
    <col min="25" max="25" width="13.42578125" customWidth="1"/>
    <col min="26" max="26" width="14.5703125" customWidth="1"/>
    <col min="27" max="27" width="13.42578125" customWidth="1"/>
    <col min="28" max="28" width="13.85546875" customWidth="1"/>
    <col min="29" max="29" width="12.7109375" customWidth="1"/>
    <col min="30" max="30" width="10.28515625" customWidth="1"/>
    <col min="31" max="31" width="12.7109375" customWidth="1"/>
    <col min="32" max="32" width="10.140625" customWidth="1"/>
    <col min="34" max="34" width="15.28515625" customWidth="1"/>
    <col min="35" max="35" width="14.7109375" customWidth="1"/>
    <col min="36" max="36" width="13" customWidth="1"/>
    <col min="37" max="37" width="17" customWidth="1"/>
    <col min="38" max="38" width="16.140625" customWidth="1"/>
    <col min="39" max="39" width="14.140625" customWidth="1"/>
    <col min="40" max="40" width="11.28515625" customWidth="1"/>
  </cols>
  <sheetData>
    <row r="1" spans="1:29" s="17" customFormat="1" ht="45" customHeight="1">
      <c r="A1" s="869" t="s">
        <v>210</v>
      </c>
      <c r="B1" s="869"/>
      <c r="C1" s="869"/>
      <c r="D1" s="869"/>
      <c r="E1" s="869"/>
      <c r="F1" s="869"/>
      <c r="G1" s="869"/>
      <c r="H1" s="869"/>
      <c r="I1" s="869"/>
      <c r="J1" s="869"/>
      <c r="K1" s="869"/>
      <c r="L1" s="869"/>
      <c r="M1" s="869"/>
      <c r="N1" s="869"/>
      <c r="O1" s="869"/>
      <c r="P1" s="869"/>
      <c r="Q1" s="869"/>
      <c r="R1" s="869"/>
      <c r="S1" s="869"/>
      <c r="T1" s="869"/>
      <c r="U1" s="869"/>
      <c r="V1" s="869"/>
      <c r="W1" s="869"/>
      <c r="X1" s="869"/>
      <c r="Y1" s="869"/>
      <c r="Z1" s="1"/>
      <c r="AA1" s="1"/>
      <c r="AB1" s="1"/>
      <c r="AC1" s="1"/>
    </row>
    <row r="2" spans="1:29" s="17" customFormat="1" ht="5.25" customHeight="1">
      <c r="A2" s="326"/>
      <c r="B2" s="326"/>
      <c r="C2" s="326"/>
      <c r="D2" s="326"/>
      <c r="E2" s="326"/>
      <c r="F2" s="326"/>
      <c r="G2" s="326"/>
      <c r="H2" s="326"/>
      <c r="I2" s="326"/>
      <c r="J2" s="326"/>
      <c r="K2" s="326"/>
      <c r="L2" s="326"/>
      <c r="M2" s="326"/>
      <c r="N2" s="326"/>
      <c r="O2" s="326"/>
      <c r="P2" s="326"/>
      <c r="Q2" s="327"/>
      <c r="R2" s="326"/>
      <c r="S2" s="326"/>
      <c r="T2" s="326"/>
      <c r="U2" s="326"/>
      <c r="V2" s="326"/>
      <c r="W2" s="326"/>
      <c r="X2" s="326"/>
      <c r="Y2" s="326"/>
      <c r="Z2" s="1"/>
      <c r="AA2" s="1"/>
      <c r="AB2" s="1"/>
      <c r="AC2" s="1"/>
    </row>
    <row r="3" spans="1:29" s="17" customFormat="1">
      <c r="A3" s="297"/>
      <c r="B3" s="297"/>
      <c r="C3" s="297"/>
      <c r="D3" s="297"/>
      <c r="E3" s="297"/>
      <c r="F3" s="297"/>
      <c r="G3" s="297"/>
      <c r="H3" s="297"/>
      <c r="I3" s="297"/>
      <c r="J3" s="297"/>
      <c r="K3" s="297"/>
      <c r="L3" s="297"/>
      <c r="M3" s="297"/>
      <c r="N3" s="297"/>
      <c r="O3" s="297"/>
      <c r="P3" s="297"/>
      <c r="Q3" s="328"/>
      <c r="R3" s="297"/>
      <c r="S3" s="297"/>
      <c r="T3" s="297"/>
      <c r="U3" s="297"/>
      <c r="V3" s="297"/>
      <c r="W3" s="297"/>
      <c r="X3" s="297"/>
      <c r="Y3" s="297"/>
      <c r="Z3" s="1"/>
      <c r="AA3" s="1"/>
      <c r="AB3" s="1"/>
      <c r="AC3" s="1"/>
    </row>
    <row r="4" spans="1:29">
      <c r="A4" s="297"/>
      <c r="B4" s="297"/>
      <c r="C4" s="297"/>
      <c r="D4" s="297"/>
      <c r="E4" s="297"/>
      <c r="F4" s="297"/>
      <c r="G4" s="297"/>
      <c r="H4" s="297"/>
      <c r="I4" s="297"/>
      <c r="J4" s="297"/>
      <c r="K4" s="297"/>
      <c r="L4" s="297"/>
      <c r="M4" s="297"/>
      <c r="N4" s="297"/>
      <c r="O4" s="297"/>
      <c r="P4" s="297"/>
      <c r="Q4" s="297"/>
      <c r="R4" s="297"/>
      <c r="S4" s="297"/>
      <c r="T4" s="297"/>
      <c r="U4" s="297"/>
      <c r="V4" s="297"/>
      <c r="W4" s="297"/>
      <c r="X4" s="297"/>
      <c r="Y4" s="297"/>
    </row>
    <row r="5" spans="1:29" ht="21" customHeight="1">
      <c r="A5" s="886" t="s">
        <v>137</v>
      </c>
      <c r="B5" s="887"/>
      <c r="C5" s="877" t="s">
        <v>138</v>
      </c>
      <c r="D5" s="877"/>
      <c r="E5" s="877"/>
      <c r="F5" s="877"/>
      <c r="G5" s="877"/>
      <c r="H5" s="877"/>
      <c r="I5" s="877"/>
      <c r="J5" s="877"/>
      <c r="K5" s="877"/>
      <c r="L5" s="877"/>
      <c r="M5" s="877"/>
      <c r="N5" s="877"/>
      <c r="O5" s="877"/>
      <c r="P5" s="877"/>
      <c r="Q5" s="877"/>
      <c r="R5" s="877"/>
      <c r="S5" s="877"/>
      <c r="T5" s="877"/>
      <c r="U5" s="297"/>
      <c r="V5" s="297"/>
      <c r="W5" s="297"/>
      <c r="X5" s="297"/>
      <c r="Y5" s="297"/>
    </row>
    <row r="6" spans="1:29" ht="22.5" customHeight="1">
      <c r="A6" s="888"/>
      <c r="B6" s="889"/>
      <c r="C6" s="878" t="s">
        <v>36</v>
      </c>
      <c r="D6" s="879" t="s">
        <v>430</v>
      </c>
      <c r="E6" s="880" t="s">
        <v>427</v>
      </c>
      <c r="F6" s="880"/>
      <c r="G6" s="880"/>
      <c r="H6" s="880"/>
      <c r="I6" s="880"/>
      <c r="J6" s="880"/>
      <c r="K6" s="880"/>
      <c r="L6" s="880"/>
      <c r="M6" s="880"/>
      <c r="N6" s="546"/>
      <c r="O6" s="881" t="s">
        <v>428</v>
      </c>
      <c r="P6" s="882"/>
      <c r="Q6" s="882"/>
      <c r="R6" s="882"/>
      <c r="S6" s="883"/>
      <c r="T6" s="884" t="s">
        <v>14</v>
      </c>
      <c r="U6" s="297"/>
      <c r="V6" s="297"/>
      <c r="W6" s="297"/>
      <c r="X6" s="297"/>
      <c r="Y6" s="297"/>
    </row>
    <row r="7" spans="1:29" ht="52.5" customHeight="1">
      <c r="A7" s="890"/>
      <c r="B7" s="891"/>
      <c r="C7" s="878"/>
      <c r="D7" s="879"/>
      <c r="E7" s="637" t="s">
        <v>98</v>
      </c>
      <c r="F7" s="637" t="s">
        <v>140</v>
      </c>
      <c r="G7" s="637" t="s">
        <v>429</v>
      </c>
      <c r="H7" s="637" t="s">
        <v>292</v>
      </c>
      <c r="I7" s="637" t="s">
        <v>95</v>
      </c>
      <c r="J7" s="637" t="s">
        <v>287</v>
      </c>
      <c r="K7" s="637" t="s">
        <v>2</v>
      </c>
      <c r="L7" s="637" t="s">
        <v>63</v>
      </c>
      <c r="M7" s="637" t="s">
        <v>141</v>
      </c>
      <c r="N7" s="637" t="s">
        <v>390</v>
      </c>
      <c r="O7" s="637" t="s">
        <v>106</v>
      </c>
      <c r="P7" s="637" t="s">
        <v>142</v>
      </c>
      <c r="Q7" s="637" t="s">
        <v>143</v>
      </c>
      <c r="R7" s="637" t="s">
        <v>144</v>
      </c>
      <c r="S7" s="637" t="s">
        <v>145</v>
      </c>
      <c r="T7" s="884"/>
      <c r="U7" s="297"/>
      <c r="V7" s="297"/>
      <c r="W7" s="297"/>
      <c r="X7" s="297"/>
      <c r="Y7" s="297"/>
    </row>
    <row r="8" spans="1:29" ht="25.5" customHeight="1">
      <c r="A8" s="870" t="s">
        <v>146</v>
      </c>
      <c r="B8" s="870"/>
      <c r="C8" s="528"/>
      <c r="D8" s="528"/>
      <c r="E8" s="528"/>
      <c r="F8" s="528"/>
      <c r="G8" s="528"/>
      <c r="H8" s="529"/>
      <c r="I8" s="528"/>
      <c r="J8" s="530"/>
      <c r="K8" s="528"/>
      <c r="L8" s="528"/>
      <c r="M8" s="531"/>
      <c r="N8" s="532"/>
      <c r="O8" s="533"/>
      <c r="P8" s="534"/>
      <c r="Q8" s="534"/>
      <c r="R8" s="534"/>
      <c r="S8" s="534"/>
      <c r="T8" s="534"/>
      <c r="U8" s="297"/>
      <c r="V8" s="297"/>
      <c r="W8" s="297"/>
      <c r="X8" s="297"/>
      <c r="Y8" s="297"/>
    </row>
    <row r="9" spans="1:29" ht="18.75" customHeight="1">
      <c r="A9" s="885" t="s">
        <v>147</v>
      </c>
      <c r="B9" s="885"/>
      <c r="C9" s="535">
        <f>'3-Commune'!C26</f>
        <v>0</v>
      </c>
      <c r="D9" s="535">
        <f>'3-Commune'!C27</f>
        <v>0</v>
      </c>
      <c r="E9" s="535">
        <f>'3-Commune'!C28</f>
        <v>0</v>
      </c>
      <c r="F9" s="535">
        <f>'3-Commune'!C29</f>
        <v>0</v>
      </c>
      <c r="G9" s="535">
        <f>'3-Commune'!C30</f>
        <v>0</v>
      </c>
      <c r="H9" s="535">
        <f>'3-Commune'!C31</f>
        <v>0</v>
      </c>
      <c r="I9" s="535">
        <f>'3-Commune'!C32</f>
        <v>0</v>
      </c>
      <c r="J9" s="535">
        <f>'3-Commune'!C33</f>
        <v>0</v>
      </c>
      <c r="K9" s="535">
        <f>'3-Commune'!C34</f>
        <v>0</v>
      </c>
      <c r="L9" s="535">
        <f>'3-Commune'!C35</f>
        <v>0</v>
      </c>
      <c r="M9" s="535">
        <f>'3-Commune'!C36</f>
        <v>0</v>
      </c>
      <c r="N9" s="535">
        <f>'3-Commune'!C37</f>
        <v>0</v>
      </c>
      <c r="O9" s="535">
        <f>'3-Commune'!C38</f>
        <v>0</v>
      </c>
      <c r="P9" s="535">
        <f>'3-Commune'!C39</f>
        <v>0</v>
      </c>
      <c r="Q9" s="535">
        <f>'3-Commune'!C40</f>
        <v>0</v>
      </c>
      <c r="R9" s="535">
        <f>'3-Commune'!C41</f>
        <v>0</v>
      </c>
      <c r="S9" s="535">
        <f>'3-Commune'!C42</f>
        <v>0</v>
      </c>
      <c r="T9" s="536">
        <f>SUM(C9:S9)</f>
        <v>0</v>
      </c>
      <c r="U9" s="297"/>
      <c r="V9" s="297"/>
      <c r="W9" s="297"/>
      <c r="X9" s="297"/>
      <c r="Y9" s="297"/>
    </row>
    <row r="10" spans="1:29" ht="15" customHeight="1">
      <c r="A10" s="885" t="s">
        <v>148</v>
      </c>
      <c r="B10" s="885"/>
      <c r="C10" s="535">
        <f>'4-Secteur privé'!D191</f>
        <v>1601.2341438318426</v>
      </c>
      <c r="D10" s="535">
        <f>'4-Secteur privé'!D192</f>
        <v>0</v>
      </c>
      <c r="E10" s="535">
        <f>'4-Secteur privé'!D193</f>
        <v>0</v>
      </c>
      <c r="F10" s="535">
        <f>'4-Secteur privé'!D194</f>
        <v>184.79480125880451</v>
      </c>
      <c r="G10" s="535">
        <f>'4-Secteur privé'!D195</f>
        <v>0</v>
      </c>
      <c r="H10" s="535">
        <f>'4-Secteur privé'!D196</f>
        <v>0</v>
      </c>
      <c r="I10" s="535">
        <f>'4-Secteur privé'!D197</f>
        <v>0</v>
      </c>
      <c r="J10" s="535">
        <f>'4-Secteur privé'!E198</f>
        <v>0</v>
      </c>
      <c r="K10" s="535">
        <f>'4-Secteur privé'!D199</f>
        <v>0</v>
      </c>
      <c r="L10" s="535">
        <f>'4-Secteur privé'!D200</f>
        <v>0</v>
      </c>
      <c r="M10" s="535">
        <f>'4-Secteur privé'!D201</f>
        <v>0</v>
      </c>
      <c r="N10" s="535">
        <f>'4-Secteur privé'!D202</f>
        <v>0</v>
      </c>
      <c r="O10" s="535">
        <f>'4-Secteur privé'!D203</f>
        <v>0</v>
      </c>
      <c r="P10" s="535">
        <f>'4-Secteur privé'!D204</f>
        <v>0</v>
      </c>
      <c r="Q10" s="535">
        <f>'4-Secteur privé'!D205</f>
        <v>0</v>
      </c>
      <c r="R10" s="535">
        <f>'4-Secteur privé'!D206</f>
        <v>0</v>
      </c>
      <c r="S10" s="535">
        <f>'4-Secteur privé'!D207</f>
        <v>0</v>
      </c>
      <c r="T10" s="536">
        <f t="shared" ref="T10:T23" si="0">SUM(C10:S10)</f>
        <v>1786.0289450906471</v>
      </c>
      <c r="U10" s="297"/>
      <c r="V10" s="297"/>
      <c r="W10" s="297"/>
      <c r="X10" s="297"/>
      <c r="Y10" s="297"/>
    </row>
    <row r="11" spans="1:29">
      <c r="A11" s="885" t="s">
        <v>149</v>
      </c>
      <c r="B11" s="885"/>
      <c r="C11" s="535">
        <f>'4-Secteur privé'!C191</f>
        <v>1364.989088803191</v>
      </c>
      <c r="D11" s="535">
        <f>'4-Secteur privé'!C192</f>
        <v>0</v>
      </c>
      <c r="E11" s="535">
        <f>'4-Secteur privé'!C193</f>
        <v>0</v>
      </c>
      <c r="F11" s="535">
        <f>'4-Secteur privé'!C194</f>
        <v>1708.1378778948917</v>
      </c>
      <c r="G11" s="535">
        <f>'4-Secteur privé'!C195</f>
        <v>0</v>
      </c>
      <c r="H11" s="535">
        <f>'4-Secteur privé'!C196</f>
        <v>0</v>
      </c>
      <c r="I11" s="535">
        <f>'4-Secteur privé'!C197</f>
        <v>0</v>
      </c>
      <c r="J11" s="535">
        <f>'4-Secteur privé'!D197</f>
        <v>0</v>
      </c>
      <c r="K11" s="535">
        <f>'4-Secteur privé'!C199</f>
        <v>0</v>
      </c>
      <c r="L11" s="535">
        <f>'4-Secteur privé'!C200</f>
        <v>0</v>
      </c>
      <c r="M11" s="535">
        <f>'4-Secteur privé'!C201</f>
        <v>0</v>
      </c>
      <c r="N11" s="535">
        <f>'4-Secteur privé'!C202</f>
        <v>0</v>
      </c>
      <c r="O11" s="535">
        <f>'4-Secteur privé'!C203</f>
        <v>0</v>
      </c>
      <c r="P11" s="535">
        <f>'4-Secteur privé'!C204</f>
        <v>0</v>
      </c>
      <c r="Q11" s="535">
        <f>'4-Secteur privé'!C205</f>
        <v>0</v>
      </c>
      <c r="R11" s="535">
        <f>'4-Secteur privé'!C206</f>
        <v>141.26977625345853</v>
      </c>
      <c r="S11" s="535">
        <f>'4-Secteur privé'!C207</f>
        <v>0</v>
      </c>
      <c r="T11" s="536">
        <f t="shared" si="0"/>
        <v>3214.396742951541</v>
      </c>
      <c r="U11" s="297"/>
      <c r="V11" s="297"/>
      <c r="W11" s="297"/>
      <c r="X11" s="297"/>
      <c r="Y11" s="297"/>
    </row>
    <row r="12" spans="1:29" s="17" customFormat="1">
      <c r="A12" s="867" t="s">
        <v>150</v>
      </c>
      <c r="B12" s="868"/>
      <c r="C12" s="535">
        <f>'3-Commune'!F26</f>
        <v>0</v>
      </c>
      <c r="D12" s="535"/>
      <c r="E12" s="535"/>
      <c r="F12" s="535"/>
      <c r="G12" s="535"/>
      <c r="H12" s="535"/>
      <c r="I12" s="535"/>
      <c r="J12" s="537"/>
      <c r="K12" s="535"/>
      <c r="L12" s="535"/>
      <c r="M12" s="535"/>
      <c r="N12" s="537"/>
      <c r="O12" s="535"/>
      <c r="P12" s="535"/>
      <c r="Q12" s="535"/>
      <c r="R12" s="535"/>
      <c r="S12" s="535"/>
      <c r="T12" s="536"/>
      <c r="U12" s="297"/>
      <c r="V12" s="297"/>
      <c r="W12" s="297"/>
      <c r="X12" s="297"/>
      <c r="Y12" s="297"/>
    </row>
    <row r="13" spans="1:29" ht="15.75" customHeight="1">
      <c r="A13" s="867" t="s">
        <v>151</v>
      </c>
      <c r="B13" s="868"/>
      <c r="C13" s="535">
        <f>'4-Secteur privé'!E191</f>
        <v>6345</v>
      </c>
      <c r="D13" s="535">
        <f>'4-Secteur privé'!E192</f>
        <v>0</v>
      </c>
      <c r="E13" s="535">
        <f>'4-Secteur privé'!E193</f>
        <v>0</v>
      </c>
      <c r="F13" s="535">
        <f>'4-Secteur privé'!E194</f>
        <v>31.868232558139539</v>
      </c>
      <c r="G13" s="535">
        <f>'4-Secteur privé'!E195</f>
        <v>0</v>
      </c>
      <c r="H13" s="535">
        <f>'4-Secteur privé'!E196</f>
        <v>0</v>
      </c>
      <c r="I13" s="535">
        <f>'4-Secteur privé'!E197</f>
        <v>0</v>
      </c>
      <c r="J13" s="535">
        <f>'4-Secteur privé'!E198</f>
        <v>0</v>
      </c>
      <c r="K13" s="535">
        <f>'4-Secteur privé'!E199</f>
        <v>0</v>
      </c>
      <c r="L13" s="535">
        <f>'4-Secteur privé'!E200</f>
        <v>0</v>
      </c>
      <c r="M13" s="535">
        <f>'4-Secteur privé'!E201</f>
        <v>347.59320000000008</v>
      </c>
      <c r="N13" s="535">
        <f>'4-Secteur privé'!E202</f>
        <v>22.767441860465119</v>
      </c>
      <c r="O13" s="535">
        <f>'4-Secteur privé'!E203</f>
        <v>0</v>
      </c>
      <c r="P13" s="535">
        <f>'4-Secteur privé'!E204</f>
        <v>0</v>
      </c>
      <c r="Q13" s="535">
        <f>'4-Secteur privé'!E205</f>
        <v>0</v>
      </c>
      <c r="R13" s="535">
        <f>'4-Secteur privé'!E206</f>
        <v>0</v>
      </c>
      <c r="S13" s="535">
        <f>'4-Secteur privé'!E207</f>
        <v>0</v>
      </c>
      <c r="T13" s="536">
        <f t="shared" si="0"/>
        <v>6747.2288744186044</v>
      </c>
      <c r="U13" s="297"/>
      <c r="V13" s="297"/>
      <c r="W13" s="297"/>
      <c r="X13" s="297"/>
      <c r="Y13" s="297"/>
    </row>
    <row r="14" spans="1:29" ht="15" customHeight="1">
      <c r="A14" s="873" t="s">
        <v>152</v>
      </c>
      <c r="B14" s="873"/>
      <c r="C14" s="538">
        <f t="shared" ref="C14:S14" si="1">SUM(C9:C13)</f>
        <v>9311.2232326350331</v>
      </c>
      <c r="D14" s="538">
        <f t="shared" si="1"/>
        <v>0</v>
      </c>
      <c r="E14" s="538">
        <f t="shared" si="1"/>
        <v>0</v>
      </c>
      <c r="F14" s="538">
        <f t="shared" si="1"/>
        <v>1924.8009117118359</v>
      </c>
      <c r="G14" s="538">
        <f t="shared" si="1"/>
        <v>0</v>
      </c>
      <c r="H14" s="538">
        <f t="shared" si="1"/>
        <v>0</v>
      </c>
      <c r="I14" s="538">
        <f t="shared" si="1"/>
        <v>0</v>
      </c>
      <c r="J14" s="539">
        <f t="shared" si="1"/>
        <v>0</v>
      </c>
      <c r="K14" s="538">
        <f t="shared" si="1"/>
        <v>0</v>
      </c>
      <c r="L14" s="538">
        <f t="shared" si="1"/>
        <v>0</v>
      </c>
      <c r="M14" s="538">
        <f t="shared" si="1"/>
        <v>347.59320000000008</v>
      </c>
      <c r="N14" s="539">
        <f t="shared" si="1"/>
        <v>22.767441860465119</v>
      </c>
      <c r="O14" s="538">
        <f t="shared" si="1"/>
        <v>0</v>
      </c>
      <c r="P14" s="538">
        <f t="shared" si="1"/>
        <v>0</v>
      </c>
      <c r="Q14" s="538">
        <f t="shared" si="1"/>
        <v>0</v>
      </c>
      <c r="R14" s="538">
        <f t="shared" si="1"/>
        <v>141.26977625345853</v>
      </c>
      <c r="S14" s="538">
        <f t="shared" si="1"/>
        <v>0</v>
      </c>
      <c r="T14" s="538">
        <f t="shared" si="0"/>
        <v>11747.654562460793</v>
      </c>
      <c r="U14" s="297"/>
      <c r="V14" s="297"/>
      <c r="W14" s="297"/>
      <c r="X14" s="297"/>
      <c r="Y14" s="297"/>
    </row>
    <row r="15" spans="1:29" ht="18.75">
      <c r="A15" s="895" t="s">
        <v>15</v>
      </c>
      <c r="B15" s="895"/>
      <c r="C15" s="540"/>
      <c r="D15" s="540"/>
      <c r="E15" s="540"/>
      <c r="F15" s="540"/>
      <c r="G15" s="540"/>
      <c r="H15" s="540"/>
      <c r="I15" s="540"/>
      <c r="J15" s="541"/>
      <c r="K15" s="540"/>
      <c r="L15" s="540"/>
      <c r="M15" s="540"/>
      <c r="N15" s="541"/>
      <c r="O15" s="540"/>
      <c r="P15" s="540"/>
      <c r="Q15" s="540"/>
      <c r="R15" s="540"/>
      <c r="S15" s="540"/>
      <c r="T15" s="540">
        <f t="shared" si="0"/>
        <v>0</v>
      </c>
      <c r="U15" s="297"/>
      <c r="V15" s="297"/>
      <c r="W15" s="297"/>
      <c r="X15" s="297"/>
      <c r="Y15" s="297"/>
    </row>
    <row r="16" spans="1:29" s="17" customFormat="1">
      <c r="A16" s="874" t="s">
        <v>153</v>
      </c>
      <c r="B16" s="874"/>
      <c r="C16" s="535"/>
      <c r="D16" s="535"/>
      <c r="E16" s="535"/>
      <c r="F16" s="535">
        <f>'3-Commune'!D29+'3-Commune'!E29</f>
        <v>0</v>
      </c>
      <c r="G16" s="535"/>
      <c r="H16" s="535">
        <f>'3-Commune'!D31+'3-Commune'!E31</f>
        <v>0</v>
      </c>
      <c r="I16" s="535">
        <f>'3-Commune'!D32+'3-Commune'!E32</f>
        <v>0</v>
      </c>
      <c r="J16" s="537"/>
      <c r="K16" s="535"/>
      <c r="L16" s="535"/>
      <c r="M16" s="535"/>
      <c r="N16" s="537"/>
      <c r="O16" s="535"/>
      <c r="P16" s="535">
        <f>'3-Commune'!D39+'3-Commune'!E39</f>
        <v>0</v>
      </c>
      <c r="Q16" s="535"/>
      <c r="R16" s="535"/>
      <c r="S16" s="535"/>
      <c r="T16" s="536">
        <f>SUM(C16:S16)</f>
        <v>0</v>
      </c>
      <c r="U16" s="297"/>
      <c r="V16" s="297"/>
      <c r="W16" s="297"/>
      <c r="X16" s="297"/>
      <c r="Y16" s="297"/>
    </row>
    <row r="17" spans="1:25">
      <c r="A17" s="874" t="s">
        <v>154</v>
      </c>
      <c r="B17" s="874"/>
      <c r="C17" s="535">
        <f>'5-Transport'!D34</f>
        <v>0</v>
      </c>
      <c r="D17" s="535"/>
      <c r="E17" s="535"/>
      <c r="F17" s="896">
        <f>'5-Transport'!C37</f>
        <v>3.3823023255813958</v>
      </c>
      <c r="G17" s="535"/>
      <c r="H17" s="898">
        <f>'5-Transport'!F39</f>
        <v>36.788095348837217</v>
      </c>
      <c r="I17" s="898">
        <f>'5-Transport'!F40</f>
        <v>25.302244767441859</v>
      </c>
      <c r="J17" s="537"/>
      <c r="K17" s="535"/>
      <c r="L17" s="535"/>
      <c r="M17" s="542"/>
      <c r="N17" s="542"/>
      <c r="O17" s="535"/>
      <c r="P17" s="896">
        <f>'5-Transport'!F46</f>
        <v>0</v>
      </c>
      <c r="Q17" s="535"/>
      <c r="R17" s="535"/>
      <c r="S17" s="535"/>
      <c r="T17" s="536">
        <f t="shared" si="0"/>
        <v>65.472642441860472</v>
      </c>
      <c r="U17" s="297"/>
      <c r="V17" s="297"/>
      <c r="W17" s="297"/>
      <c r="X17" s="297"/>
      <c r="Y17" s="297"/>
    </row>
    <row r="18" spans="1:25">
      <c r="A18" s="874" t="s">
        <v>155</v>
      </c>
      <c r="B18" s="874"/>
      <c r="C18" s="535"/>
      <c r="D18" s="535"/>
      <c r="E18" s="535"/>
      <c r="F18" s="897"/>
      <c r="G18" s="535"/>
      <c r="H18" s="899"/>
      <c r="I18" s="899"/>
      <c r="J18" s="537"/>
      <c r="K18" s="535"/>
      <c r="L18" s="535"/>
      <c r="M18" s="542"/>
      <c r="N18" s="542"/>
      <c r="O18" s="535"/>
      <c r="P18" s="897"/>
      <c r="Q18" s="535"/>
      <c r="R18" s="535"/>
      <c r="S18" s="535"/>
      <c r="T18" s="536">
        <f t="shared" si="0"/>
        <v>0</v>
      </c>
      <c r="U18" s="297"/>
      <c r="V18" s="297"/>
      <c r="W18" s="297"/>
      <c r="X18" s="297"/>
      <c r="Y18" s="297"/>
    </row>
    <row r="19" spans="1:25" ht="18.75">
      <c r="A19" s="894" t="s">
        <v>152</v>
      </c>
      <c r="B19" s="894"/>
      <c r="C19" s="538">
        <f>C16+C17+C18</f>
        <v>0</v>
      </c>
      <c r="D19" s="538">
        <f>D16+D17+D18</f>
        <v>0</v>
      </c>
      <c r="E19" s="538">
        <f>E16+E17+E18</f>
        <v>0</v>
      </c>
      <c r="F19" s="538">
        <f>F16+F17</f>
        <v>3.3823023255813958</v>
      </c>
      <c r="G19" s="538">
        <f>G16+G17+G18</f>
        <v>0</v>
      </c>
      <c r="H19" s="538">
        <f>H16+H17</f>
        <v>36.788095348837217</v>
      </c>
      <c r="I19" s="538">
        <f>I16+I17</f>
        <v>25.302244767441859</v>
      </c>
      <c r="J19" s="539">
        <f>SUM(J16:J18)</f>
        <v>0</v>
      </c>
      <c r="K19" s="538">
        <f>K16+K17+K18</f>
        <v>0</v>
      </c>
      <c r="L19" s="538">
        <f>L16+L17+L18</f>
        <v>0</v>
      </c>
      <c r="M19" s="538">
        <f>M16+M17</f>
        <v>0</v>
      </c>
      <c r="N19" s="539">
        <f>SUM(N16:N18)</f>
        <v>0</v>
      </c>
      <c r="O19" s="538">
        <f>O16+O17+O18</f>
        <v>0</v>
      </c>
      <c r="P19" s="538">
        <f>P16+P17</f>
        <v>0</v>
      </c>
      <c r="Q19" s="538">
        <f>Q16+Q17+Q18</f>
        <v>0</v>
      </c>
      <c r="R19" s="538">
        <f>R16+R17+R18</f>
        <v>0</v>
      </c>
      <c r="S19" s="538">
        <f>S16+S17+S18</f>
        <v>0</v>
      </c>
      <c r="T19" s="538">
        <f t="shared" si="0"/>
        <v>65.472642441860472</v>
      </c>
      <c r="U19" s="297"/>
      <c r="V19" s="297"/>
      <c r="W19" s="297"/>
      <c r="X19" s="297"/>
      <c r="Y19" s="297"/>
    </row>
    <row r="20" spans="1:25" ht="18.75">
      <c r="A20" s="895" t="s">
        <v>38</v>
      </c>
      <c r="B20" s="895"/>
      <c r="C20" s="540"/>
      <c r="D20" s="540"/>
      <c r="E20" s="540"/>
      <c r="F20" s="540"/>
      <c r="G20" s="540"/>
      <c r="H20" s="540"/>
      <c r="I20" s="540"/>
      <c r="J20" s="541"/>
      <c r="K20" s="540"/>
      <c r="L20" s="540"/>
      <c r="M20" s="540"/>
      <c r="N20" s="541"/>
      <c r="O20" s="540"/>
      <c r="P20" s="540"/>
      <c r="Q20" s="540"/>
      <c r="R20" s="540"/>
      <c r="S20" s="540"/>
      <c r="T20" s="540">
        <f t="shared" si="0"/>
        <v>0</v>
      </c>
      <c r="U20" s="297"/>
      <c r="V20" s="297"/>
      <c r="W20" s="297"/>
      <c r="X20" s="297"/>
      <c r="Y20" s="297"/>
    </row>
    <row r="21" spans="1:25">
      <c r="A21" s="871" t="s">
        <v>156</v>
      </c>
      <c r="B21" s="871"/>
      <c r="C21" s="535"/>
      <c r="D21" s="535"/>
      <c r="E21" s="535"/>
      <c r="F21" s="535"/>
      <c r="G21" s="535"/>
      <c r="H21" s="535"/>
      <c r="I21" s="535"/>
      <c r="J21" s="537"/>
      <c r="K21" s="535"/>
      <c r="L21" s="535"/>
      <c r="M21" s="535"/>
      <c r="N21" s="537"/>
      <c r="O21" s="535"/>
      <c r="P21" s="535"/>
      <c r="Q21" s="535"/>
      <c r="R21" s="535"/>
      <c r="S21" s="535"/>
      <c r="T21" s="536">
        <f t="shared" si="0"/>
        <v>0</v>
      </c>
      <c r="U21" s="297"/>
      <c r="V21" s="297"/>
      <c r="W21" s="297"/>
      <c r="X21" s="297"/>
      <c r="Y21" s="297"/>
    </row>
    <row r="22" spans="1:25">
      <c r="A22" s="892" t="s">
        <v>375</v>
      </c>
      <c r="B22" s="892"/>
      <c r="C22" s="543"/>
      <c r="D22" s="543"/>
      <c r="E22" s="543"/>
      <c r="F22" s="543"/>
      <c r="G22" s="543"/>
      <c r="H22" s="543"/>
      <c r="I22" s="543"/>
      <c r="J22" s="544"/>
      <c r="K22" s="543"/>
      <c r="L22" s="543"/>
      <c r="M22" s="543"/>
      <c r="N22" s="544"/>
      <c r="O22" s="543"/>
      <c r="P22" s="543"/>
      <c r="Q22" s="543"/>
      <c r="R22" s="543"/>
      <c r="S22" s="543"/>
      <c r="T22" s="543">
        <f t="shared" si="0"/>
        <v>0</v>
      </c>
      <c r="U22" s="297"/>
      <c r="V22" s="297"/>
      <c r="W22" s="297"/>
      <c r="X22" s="297"/>
      <c r="Y22" s="297"/>
    </row>
    <row r="23" spans="1:25" ht="18.75">
      <c r="A23" s="872" t="s">
        <v>14</v>
      </c>
      <c r="B23" s="872"/>
      <c r="C23" s="538">
        <f>SUM(C14,C19,C21,C22)</f>
        <v>9311.2232326350331</v>
      </c>
      <c r="D23" s="538">
        <f t="shared" ref="D23:S23" si="2">SUM(D14,D19,D21,D22)</f>
        <v>0</v>
      </c>
      <c r="E23" s="538">
        <f t="shared" si="2"/>
        <v>0</v>
      </c>
      <c r="F23" s="538">
        <f t="shared" si="2"/>
        <v>1928.1832140374172</v>
      </c>
      <c r="G23" s="538">
        <f t="shared" si="2"/>
        <v>0</v>
      </c>
      <c r="H23" s="538">
        <f t="shared" si="2"/>
        <v>36.788095348837217</v>
      </c>
      <c r="I23" s="538">
        <f t="shared" si="2"/>
        <v>25.302244767441859</v>
      </c>
      <c r="J23" s="538">
        <f t="shared" si="2"/>
        <v>0</v>
      </c>
      <c r="K23" s="538">
        <f t="shared" si="2"/>
        <v>0</v>
      </c>
      <c r="L23" s="538">
        <f t="shared" si="2"/>
        <v>0</v>
      </c>
      <c r="M23" s="538">
        <f t="shared" si="2"/>
        <v>347.59320000000008</v>
      </c>
      <c r="N23" s="538">
        <f t="shared" si="2"/>
        <v>22.767441860465119</v>
      </c>
      <c r="O23" s="538">
        <f t="shared" si="2"/>
        <v>0</v>
      </c>
      <c r="P23" s="538">
        <f t="shared" si="2"/>
        <v>0</v>
      </c>
      <c r="Q23" s="538">
        <f t="shared" si="2"/>
        <v>0</v>
      </c>
      <c r="R23" s="538">
        <f t="shared" si="2"/>
        <v>141.26977625345853</v>
      </c>
      <c r="S23" s="538">
        <f t="shared" si="2"/>
        <v>0</v>
      </c>
      <c r="T23" s="538">
        <f t="shared" si="0"/>
        <v>11813.127204902652</v>
      </c>
      <c r="U23" s="297"/>
      <c r="V23" s="297"/>
      <c r="W23" s="297"/>
      <c r="X23" s="297"/>
      <c r="Y23" s="297"/>
    </row>
    <row r="24" spans="1:25">
      <c r="A24" s="545"/>
      <c r="B24" s="545"/>
      <c r="C24" s="297"/>
      <c r="D24" s="297"/>
      <c r="E24" s="297"/>
      <c r="F24" s="297"/>
      <c r="G24" s="297"/>
      <c r="H24" s="297"/>
      <c r="I24" s="297"/>
      <c r="J24" s="297"/>
      <c r="K24" s="297"/>
      <c r="L24" s="297"/>
      <c r="M24" s="297"/>
      <c r="N24" s="297"/>
      <c r="O24" s="299"/>
      <c r="P24" s="297"/>
      <c r="Q24" s="297"/>
      <c r="R24" s="297"/>
      <c r="S24" s="297"/>
      <c r="T24" s="297"/>
      <c r="U24" s="297"/>
      <c r="V24" s="297"/>
      <c r="W24" s="297"/>
      <c r="X24" s="297"/>
      <c r="Y24" s="297"/>
    </row>
    <row r="25" spans="1:25">
      <c r="A25" s="545"/>
      <c r="B25" s="545"/>
      <c r="C25" s="297"/>
      <c r="D25" s="297"/>
      <c r="E25" s="297"/>
      <c r="F25" s="297"/>
      <c r="G25" s="297"/>
      <c r="H25" s="297"/>
      <c r="I25" s="297"/>
      <c r="J25" s="297"/>
      <c r="K25" s="297"/>
      <c r="L25" s="297"/>
      <c r="M25" s="297"/>
      <c r="N25" s="297"/>
      <c r="O25" s="297"/>
      <c r="P25" s="297"/>
      <c r="Q25" s="297"/>
      <c r="R25" s="297"/>
      <c r="S25" s="297"/>
      <c r="T25" s="297"/>
      <c r="U25" s="297"/>
      <c r="V25" s="297"/>
      <c r="W25" s="297"/>
      <c r="X25" s="297"/>
      <c r="Y25" s="297"/>
    </row>
    <row r="26" spans="1:25">
      <c r="A26" s="545"/>
      <c r="B26" s="545"/>
      <c r="C26" s="297"/>
      <c r="D26" s="297"/>
      <c r="E26" s="297"/>
      <c r="F26" s="297"/>
      <c r="G26" s="297"/>
      <c r="H26" s="297"/>
      <c r="I26" s="297"/>
      <c r="J26" s="297"/>
      <c r="K26" s="297"/>
      <c r="L26" s="297"/>
      <c r="M26" s="297"/>
      <c r="N26" s="297"/>
      <c r="O26" s="297"/>
      <c r="P26" s="297"/>
      <c r="Q26" s="297"/>
      <c r="R26" s="297"/>
      <c r="S26" s="297"/>
      <c r="T26" s="297"/>
      <c r="U26" s="297"/>
      <c r="V26" s="297"/>
      <c r="W26" s="297"/>
      <c r="X26" s="297"/>
      <c r="Y26" s="297"/>
    </row>
    <row r="27" spans="1:25" ht="21" customHeight="1">
      <c r="A27" s="893" t="s">
        <v>137</v>
      </c>
      <c r="B27" s="893"/>
      <c r="C27" s="877" t="s">
        <v>258</v>
      </c>
      <c r="D27" s="877"/>
      <c r="E27" s="877"/>
      <c r="F27" s="877"/>
      <c r="G27" s="877"/>
      <c r="H27" s="877"/>
      <c r="I27" s="877"/>
      <c r="J27" s="877"/>
      <c r="K27" s="877"/>
      <c r="L27" s="877"/>
      <c r="M27" s="877"/>
      <c r="N27" s="877"/>
      <c r="O27" s="877"/>
      <c r="P27" s="877"/>
      <c r="Q27" s="877"/>
      <c r="R27" s="877"/>
      <c r="S27" s="877"/>
      <c r="T27" s="877"/>
      <c r="U27" s="297"/>
      <c r="V27" s="297"/>
      <c r="W27" s="297"/>
      <c r="X27" s="297"/>
      <c r="Y27" s="297"/>
    </row>
    <row r="28" spans="1:25" ht="15.75" customHeight="1">
      <c r="A28" s="893"/>
      <c r="B28" s="893"/>
      <c r="C28" s="878" t="s">
        <v>36</v>
      </c>
      <c r="D28" s="879" t="s">
        <v>430</v>
      </c>
      <c r="E28" s="880" t="s">
        <v>427</v>
      </c>
      <c r="F28" s="880"/>
      <c r="G28" s="880"/>
      <c r="H28" s="880"/>
      <c r="I28" s="880"/>
      <c r="J28" s="880"/>
      <c r="K28" s="880"/>
      <c r="L28" s="880"/>
      <c r="M28" s="880"/>
      <c r="N28" s="546"/>
      <c r="O28" s="881" t="s">
        <v>428</v>
      </c>
      <c r="P28" s="882"/>
      <c r="Q28" s="882"/>
      <c r="R28" s="882"/>
      <c r="S28" s="883"/>
      <c r="T28" s="884" t="s">
        <v>14</v>
      </c>
      <c r="U28" s="297"/>
      <c r="V28" s="297"/>
      <c r="W28" s="297"/>
      <c r="X28" s="297"/>
      <c r="Y28" s="297"/>
    </row>
    <row r="29" spans="1:25" ht="53.25" customHeight="1">
      <c r="A29" s="893"/>
      <c r="B29" s="893"/>
      <c r="C29" s="878"/>
      <c r="D29" s="879"/>
      <c r="E29" s="637" t="s">
        <v>98</v>
      </c>
      <c r="F29" s="637" t="s">
        <v>140</v>
      </c>
      <c r="G29" s="637" t="s">
        <v>429</v>
      </c>
      <c r="H29" s="637" t="s">
        <v>292</v>
      </c>
      <c r="I29" s="637" t="s">
        <v>95</v>
      </c>
      <c r="J29" s="637" t="s">
        <v>287</v>
      </c>
      <c r="K29" s="637" t="s">
        <v>2</v>
      </c>
      <c r="L29" s="637" t="s">
        <v>63</v>
      </c>
      <c r="M29" s="637" t="s">
        <v>141</v>
      </c>
      <c r="N29" s="637" t="s">
        <v>390</v>
      </c>
      <c r="O29" s="637" t="s">
        <v>106</v>
      </c>
      <c r="P29" s="637" t="s">
        <v>142</v>
      </c>
      <c r="Q29" s="637" t="s">
        <v>143</v>
      </c>
      <c r="R29" s="637" t="s">
        <v>144</v>
      </c>
      <c r="S29" s="637" t="s">
        <v>145</v>
      </c>
      <c r="T29" s="884"/>
      <c r="U29" s="297"/>
      <c r="V29" s="297"/>
      <c r="W29" s="297"/>
      <c r="X29" s="297"/>
      <c r="Y29" s="297"/>
    </row>
    <row r="30" spans="1:25" ht="15" customHeight="1">
      <c r="A30" s="870" t="s">
        <v>157</v>
      </c>
      <c r="B30" s="870"/>
      <c r="C30" s="547"/>
      <c r="D30" s="547"/>
      <c r="E30" s="547"/>
      <c r="F30" s="547"/>
      <c r="G30" s="547"/>
      <c r="H30" s="548"/>
      <c r="I30" s="547"/>
      <c r="J30" s="549"/>
      <c r="K30" s="547"/>
      <c r="L30" s="547"/>
      <c r="M30" s="550"/>
      <c r="N30" s="551"/>
      <c r="O30" s="533"/>
      <c r="P30" s="552"/>
      <c r="Q30" s="552"/>
      <c r="R30" s="552"/>
      <c r="S30" s="552"/>
      <c r="T30" s="552"/>
      <c r="U30" s="297"/>
      <c r="V30" s="297"/>
      <c r="W30" s="297"/>
      <c r="X30" s="297"/>
      <c r="Y30" s="297"/>
    </row>
    <row r="31" spans="1:25" ht="15" customHeight="1">
      <c r="A31" s="885" t="s">
        <v>147</v>
      </c>
      <c r="B31" s="885"/>
      <c r="C31" s="535">
        <f t="shared" ref="C31:C36" si="3">C9*elec_fac_E90/1000</f>
        <v>0</v>
      </c>
      <c r="D31" s="535">
        <f>D9*'2-Données générales'!D81/1000</f>
        <v>0</v>
      </c>
      <c r="E31" s="535">
        <f>E9*nagas_fac_E92/1000</f>
        <v>0</v>
      </c>
      <c r="F31" s="535">
        <f>F9*lpg_fac_E93/1000</f>
        <v>0</v>
      </c>
      <c r="G31" s="535">
        <f>G9*heat_oil_fac_E94/1000</f>
        <v>0</v>
      </c>
      <c r="H31" s="535">
        <f>H9*diesel_fac_E95/1000</f>
        <v>0</v>
      </c>
      <c r="I31" s="535">
        <f>I9*gasol_fac_E96/1000</f>
        <v>0</v>
      </c>
      <c r="J31" s="537">
        <f>J9*'2-Données générales'!$D$90/1000</f>
        <v>0</v>
      </c>
      <c r="K31" s="535">
        <f>K9*lign_fac_E97/1000</f>
        <v>0</v>
      </c>
      <c r="L31" s="535">
        <f>L9*coal_fac_E98/1000</f>
        <v>0</v>
      </c>
      <c r="M31" s="535">
        <f>M9*other_ff_fac_E99/1000</f>
        <v>0</v>
      </c>
      <c r="N31" s="537">
        <f>N9*'2-Données générales'!$D$91/1000</f>
        <v>0</v>
      </c>
      <c r="O31" s="535">
        <f>O9*pl_oi_fac_E100/1000</f>
        <v>0</v>
      </c>
      <c r="P31" s="535">
        <f>P9*bio_fac_E101/1000</f>
        <v>0</v>
      </c>
      <c r="Q31" s="535">
        <f>Q9*other_biom_fac_E102/1000</f>
        <v>0</v>
      </c>
      <c r="R31" s="535">
        <f>R9*solar_fac_E103/1000</f>
        <v>0</v>
      </c>
      <c r="S31" s="535">
        <f>S9*'2-Données générales'!D96/1000</f>
        <v>0</v>
      </c>
      <c r="T31" s="536">
        <f>SUM(C31:S31)</f>
        <v>0</v>
      </c>
      <c r="U31" s="297"/>
      <c r="V31" s="297"/>
      <c r="W31" s="297"/>
      <c r="X31" s="297"/>
      <c r="Y31" s="297"/>
    </row>
    <row r="32" spans="1:25" ht="15" customHeight="1">
      <c r="A32" s="885" t="s">
        <v>148</v>
      </c>
      <c r="B32" s="885"/>
      <c r="C32" s="535">
        <f t="shared" si="3"/>
        <v>1019.5918863260681</v>
      </c>
      <c r="D32" s="535">
        <f>D10*'2-Données générales'!D81/1000</f>
        <v>0</v>
      </c>
      <c r="E32" s="535">
        <f>E10*nagas_fac_E92/1000</f>
        <v>0</v>
      </c>
      <c r="F32" s="535">
        <f>F10*lpg_fac_E93/1000</f>
        <v>42.022005972149394</v>
      </c>
      <c r="G32" s="535">
        <f>G10*heat_oil_fac_E94/1000</f>
        <v>0</v>
      </c>
      <c r="H32" s="535">
        <f>H10*diesel_fac_E95/1000</f>
        <v>0</v>
      </c>
      <c r="I32" s="535">
        <f>I10*gasol_fac_E96/1000</f>
        <v>0</v>
      </c>
      <c r="J32" s="537">
        <f>J10*'2-Données générales'!$D$90/1000</f>
        <v>0</v>
      </c>
      <c r="K32" s="535">
        <f>K10*lign_fac_E97/1000</f>
        <v>0</v>
      </c>
      <c r="L32" s="535">
        <f>L10*coal_fac_E98/1000</f>
        <v>0</v>
      </c>
      <c r="M32" s="535">
        <f>M10*other_ff_fac_E99/1000</f>
        <v>0</v>
      </c>
      <c r="N32" s="537">
        <f>N10*'2-Données générales'!$D$91/1000</f>
        <v>0</v>
      </c>
      <c r="O32" s="535">
        <f>O10*pl_oi_fac_E100/1000</f>
        <v>0</v>
      </c>
      <c r="P32" s="535">
        <f>P10*bio_fac_E101/1000</f>
        <v>0</v>
      </c>
      <c r="Q32" s="535">
        <f>Q10*other_biom_fac_E102/1000</f>
        <v>0</v>
      </c>
      <c r="R32" s="535">
        <f>R10*solar_fac_E103/1000</f>
        <v>0</v>
      </c>
      <c r="S32" s="535">
        <f>S10*'2-Données générales'!D96/1000</f>
        <v>0</v>
      </c>
      <c r="T32" s="536">
        <f t="shared" ref="T32:T36" si="4">SUM(C32:S32)</f>
        <v>1061.6138922982175</v>
      </c>
      <c r="U32" s="297"/>
      <c r="V32" s="297"/>
      <c r="W32" s="297"/>
      <c r="X32" s="297"/>
      <c r="Y32" s="297"/>
    </row>
    <row r="33" spans="1:25">
      <c r="A33" s="885" t="s">
        <v>149</v>
      </c>
      <c r="B33" s="885"/>
      <c r="C33" s="535">
        <f t="shared" si="3"/>
        <v>869.16195562558664</v>
      </c>
      <c r="D33" s="535">
        <f>D11*'2-Données générales'!D81/1000</f>
        <v>0</v>
      </c>
      <c r="E33" s="535">
        <f>E11*nagas_fac_E92/1000</f>
        <v>0</v>
      </c>
      <c r="F33" s="535">
        <f>F11*lpg_fac_E93/1000</f>
        <v>388.4274861478757</v>
      </c>
      <c r="G33" s="535">
        <f>G11*heat_oil_fac_E94/1000</f>
        <v>0</v>
      </c>
      <c r="H33" s="535">
        <f>H11*diesel_fac_E95/1000</f>
        <v>0</v>
      </c>
      <c r="I33" s="535">
        <f>I11*gasol_fac_E96/1000</f>
        <v>0</v>
      </c>
      <c r="J33" s="537">
        <f>J11*'2-Données générales'!$D$90/1000</f>
        <v>0</v>
      </c>
      <c r="K33" s="535">
        <f>K11*lign_fac_E97/1000</f>
        <v>0</v>
      </c>
      <c r="L33" s="535">
        <f>L11*coal_fac_E98/1000</f>
        <v>0</v>
      </c>
      <c r="M33" s="535">
        <f>M11*other_ff_fac_E99/1000</f>
        <v>0</v>
      </c>
      <c r="N33" s="537">
        <f>N11*'2-Données générales'!$D$91/1000</f>
        <v>0</v>
      </c>
      <c r="O33" s="535">
        <f>O11*pl_oi_fac_E100/1000</f>
        <v>0</v>
      </c>
      <c r="P33" s="535">
        <f>P11*bio_fac_E101/1000</f>
        <v>0</v>
      </c>
      <c r="Q33" s="535">
        <f>Q11*other_biom_fac_E102/1000</f>
        <v>0</v>
      </c>
      <c r="R33" s="535">
        <f>R11*solar_fac_E103/1000</f>
        <v>0</v>
      </c>
      <c r="S33" s="535">
        <f>S11*'2-Données générales'!D96/1000</f>
        <v>0</v>
      </c>
      <c r="T33" s="536">
        <f t="shared" si="4"/>
        <v>1257.5894417734623</v>
      </c>
      <c r="U33" s="297"/>
      <c r="V33" s="297"/>
      <c r="W33" s="297"/>
      <c r="X33" s="297"/>
      <c r="Y33" s="297"/>
    </row>
    <row r="34" spans="1:25" s="17" customFormat="1">
      <c r="A34" s="867" t="s">
        <v>158</v>
      </c>
      <c r="B34" s="868"/>
      <c r="C34" s="535">
        <f t="shared" si="3"/>
        <v>0</v>
      </c>
      <c r="D34" s="535"/>
      <c r="E34" s="535"/>
      <c r="F34" s="535"/>
      <c r="G34" s="535"/>
      <c r="H34" s="535"/>
      <c r="I34" s="535"/>
      <c r="J34" s="537">
        <f>J12*'2-Données générales'!$D$90/1000</f>
        <v>0</v>
      </c>
      <c r="K34" s="535"/>
      <c r="L34" s="535"/>
      <c r="M34" s="535"/>
      <c r="N34" s="537">
        <f>N12*'2-Données générales'!$D$91/1000</f>
        <v>0</v>
      </c>
      <c r="O34" s="535"/>
      <c r="P34" s="535"/>
      <c r="Q34" s="535"/>
      <c r="R34" s="535"/>
      <c r="S34" s="535"/>
      <c r="T34" s="536"/>
      <c r="U34" s="297"/>
      <c r="V34" s="297"/>
      <c r="W34" s="297"/>
      <c r="X34" s="297"/>
      <c r="Y34" s="297"/>
    </row>
    <row r="35" spans="1:25" ht="15" customHeight="1">
      <c r="A35" s="867" t="s">
        <v>159</v>
      </c>
      <c r="B35" s="868" t="s">
        <v>22</v>
      </c>
      <c r="C35" s="535">
        <f t="shared" si="3"/>
        <v>4040.2027046822027</v>
      </c>
      <c r="D35" s="535">
        <f>D13*'2-Données générales'!D81/1000</f>
        <v>0</v>
      </c>
      <c r="E35" s="535">
        <f>E13*nagas_fac_E92/1000</f>
        <v>0</v>
      </c>
      <c r="F35" s="535">
        <f>F13*lpg_fac_E93/1000</f>
        <v>7.2467788582671568</v>
      </c>
      <c r="G35" s="535">
        <f>G13*'2-Données générales'!D91/1000</f>
        <v>0</v>
      </c>
      <c r="H35" s="535">
        <f>H13*diesel_fac_E95/1000</f>
        <v>0</v>
      </c>
      <c r="I35" s="535">
        <f>I13*gasol_fac_E96/1000</f>
        <v>0</v>
      </c>
      <c r="J35" s="537">
        <f>J13*'2-Données générales'!$D$90/1000</f>
        <v>0</v>
      </c>
      <c r="K35" s="535">
        <f>K13*lign_fac_E97/1000</f>
        <v>0</v>
      </c>
      <c r="L35" s="535">
        <f>L13*coal_fac_E98/1000</f>
        <v>0</v>
      </c>
      <c r="M35" s="535">
        <f>M13*other_ff_fac_E99/1000</f>
        <v>122.34482025936394</v>
      </c>
      <c r="N35" s="537">
        <f>N13*'2-Données générales'!$D$91/1000</f>
        <v>6.3658678062672003</v>
      </c>
      <c r="O35" s="535">
        <f>O13*pl_oi_fac_E100/1000</f>
        <v>0</v>
      </c>
      <c r="P35" s="535">
        <f>P13*bio_fac_E101/1000</f>
        <v>0</v>
      </c>
      <c r="Q35" s="535">
        <f>Q13*other_biom_fac_E102/1000</f>
        <v>0</v>
      </c>
      <c r="R35" s="535">
        <f>R13*solar_fac_E103/1000</f>
        <v>0</v>
      </c>
      <c r="S35" s="535">
        <f>S13*'2-Données générales'!D96/1000</f>
        <v>0</v>
      </c>
      <c r="T35" s="536">
        <f t="shared" si="4"/>
        <v>4176.1601716061014</v>
      </c>
      <c r="U35" s="297"/>
      <c r="V35" s="297"/>
      <c r="W35" s="297"/>
      <c r="X35" s="297"/>
      <c r="Y35" s="297"/>
    </row>
    <row r="36" spans="1:25" ht="18.75">
      <c r="A36" s="873" t="s">
        <v>152</v>
      </c>
      <c r="B36" s="873"/>
      <c r="C36" s="538">
        <f t="shared" si="3"/>
        <v>5928.9565466338572</v>
      </c>
      <c r="D36" s="538">
        <f>D14*'2-Données générales'!D81/1000</f>
        <v>0</v>
      </c>
      <c r="E36" s="538">
        <f>E14*nagas_fac_E92/1000</f>
        <v>0</v>
      </c>
      <c r="F36" s="538">
        <f>F14*lpg_fac_E93/1000</f>
        <v>437.69627097829226</v>
      </c>
      <c r="G36" s="538">
        <f>G14*heat_oil_fac_E94/1000</f>
        <v>0</v>
      </c>
      <c r="H36" s="538">
        <f>H14*diesel_fac_E95/1000</f>
        <v>0</v>
      </c>
      <c r="I36" s="538">
        <f>I14*gasol_fac_E96/1000</f>
        <v>0</v>
      </c>
      <c r="J36" s="539">
        <f>J14*'2-Données générales'!D90/1000</f>
        <v>0</v>
      </c>
      <c r="K36" s="538">
        <f>K14*lign_fac_E97/1000</f>
        <v>0</v>
      </c>
      <c r="L36" s="538">
        <f>L14*coal_fac_E98/1000</f>
        <v>0</v>
      </c>
      <c r="M36" s="538">
        <f>M14*other_ff_fac_E99/1000</f>
        <v>122.34482025936394</v>
      </c>
      <c r="N36" s="539">
        <f>N14*'2-Données générales'!D91/1000</f>
        <v>6.3658678062672003</v>
      </c>
      <c r="O36" s="538">
        <f>O14*pl_oi_fac_E100/1000</f>
        <v>0</v>
      </c>
      <c r="P36" s="538">
        <f>P14*bio_fac_E101/1000</f>
        <v>0</v>
      </c>
      <c r="Q36" s="538">
        <f>Q14*other_biom_fac_E102/1000</f>
        <v>0</v>
      </c>
      <c r="R36" s="538">
        <f>R14*solar_fac_E103/1000</f>
        <v>0</v>
      </c>
      <c r="S36" s="538">
        <f>S14*'2-Données générales'!D96/1000</f>
        <v>0</v>
      </c>
      <c r="T36" s="538">
        <f t="shared" si="4"/>
        <v>6495.3635056777803</v>
      </c>
      <c r="U36" s="297"/>
      <c r="V36" s="297"/>
      <c r="W36" s="297"/>
      <c r="X36" s="297"/>
      <c r="Y36" s="297"/>
    </row>
    <row r="37" spans="1:25">
      <c r="A37" s="870" t="s">
        <v>15</v>
      </c>
      <c r="B37" s="870"/>
      <c r="C37" s="540"/>
      <c r="D37" s="540"/>
      <c r="E37" s="540"/>
      <c r="F37" s="540"/>
      <c r="G37" s="540"/>
      <c r="H37" s="540"/>
      <c r="I37" s="540"/>
      <c r="J37" s="541"/>
      <c r="K37" s="540"/>
      <c r="L37" s="540"/>
      <c r="M37" s="540"/>
      <c r="N37" s="541"/>
      <c r="O37" s="540"/>
      <c r="P37" s="540"/>
      <c r="Q37" s="540"/>
      <c r="R37" s="540"/>
      <c r="S37" s="540"/>
      <c r="T37" s="540"/>
      <c r="U37" s="297"/>
      <c r="V37" s="297"/>
      <c r="W37" s="297"/>
      <c r="X37" s="297"/>
      <c r="Y37" s="297"/>
    </row>
    <row r="38" spans="1:25" s="17" customFormat="1">
      <c r="A38" s="874" t="s">
        <v>153</v>
      </c>
      <c r="B38" s="874"/>
      <c r="C38" s="535"/>
      <c r="D38" s="535"/>
      <c r="E38" s="535"/>
      <c r="F38" s="535">
        <f>F16*lpg_fac_E93/1000</f>
        <v>0</v>
      </c>
      <c r="G38" s="535"/>
      <c r="H38" s="535">
        <f>H16*diesel_fac_E95/1000</f>
        <v>0</v>
      </c>
      <c r="I38" s="535">
        <f>I16*gasol_fac_E96/1000</f>
        <v>0</v>
      </c>
      <c r="J38" s="537"/>
      <c r="K38" s="535"/>
      <c r="L38" s="535"/>
      <c r="M38" s="535"/>
      <c r="N38" s="537"/>
      <c r="O38" s="535"/>
      <c r="P38" s="535">
        <f>P16*bio_fac_E101/1000</f>
        <v>0</v>
      </c>
      <c r="Q38" s="535"/>
      <c r="R38" s="535"/>
      <c r="S38" s="535"/>
      <c r="T38" s="535"/>
      <c r="U38" s="297"/>
      <c r="V38" s="297"/>
      <c r="W38" s="297"/>
      <c r="X38" s="297"/>
      <c r="Y38" s="297"/>
    </row>
    <row r="39" spans="1:25">
      <c r="A39" s="874" t="s">
        <v>154</v>
      </c>
      <c r="B39" s="874"/>
      <c r="C39" s="535">
        <f>C17*elec_fac_E90/1000</f>
        <v>0</v>
      </c>
      <c r="D39" s="535">
        <f>D17*'2-Données générales'!D81/1000</f>
        <v>0</v>
      </c>
      <c r="E39" s="535">
        <f>E17*nagas_fac_E92/1000</f>
        <v>0</v>
      </c>
      <c r="F39" s="900">
        <f>F17*lpg_fac_E93/1000</f>
        <v>0.76912947527209941</v>
      </c>
      <c r="G39" s="535">
        <f>G17*heat_oil_fac_E94/1000</f>
        <v>0</v>
      </c>
      <c r="H39" s="898">
        <f>H17*diesel_fac_E95/1000</f>
        <v>9.8489773590893392</v>
      </c>
      <c r="I39" s="900">
        <f>I17*gasol_fac_E96/1000</f>
        <v>6.468329736558629</v>
      </c>
      <c r="J39" s="537"/>
      <c r="K39" s="535">
        <f>K17*lign_fac_E97/1000</f>
        <v>0</v>
      </c>
      <c r="L39" s="535">
        <f>L17*coal_fac_E98/1000</f>
        <v>0</v>
      </c>
      <c r="M39" s="898">
        <f>M17*other_ff_fac_E99/1000</f>
        <v>0</v>
      </c>
      <c r="N39" s="537"/>
      <c r="O39" s="535">
        <f>O17*pl_oi_fac_E100/1000</f>
        <v>0</v>
      </c>
      <c r="P39" s="898">
        <f>P17*bio_fac_E101/1000</f>
        <v>0</v>
      </c>
      <c r="Q39" s="535">
        <f>Q17*other_biom_fac_E102/1000</f>
        <v>0</v>
      </c>
      <c r="R39" s="535">
        <f>R17*solar_fac_E103/1000</f>
        <v>0</v>
      </c>
      <c r="S39" s="535">
        <f>S17*'2-Données générales'!D96/1000</f>
        <v>0</v>
      </c>
      <c r="T39" s="535">
        <f>SUM(C39:S39)</f>
        <v>17.086436570920068</v>
      </c>
      <c r="U39" s="297"/>
      <c r="V39" s="297"/>
      <c r="W39" s="297"/>
      <c r="X39" s="297"/>
      <c r="Y39" s="297"/>
    </row>
    <row r="40" spans="1:25">
      <c r="A40" s="874" t="s">
        <v>155</v>
      </c>
      <c r="B40" s="874"/>
      <c r="C40" s="535">
        <f>C18*elec_fac_E90/1000</f>
        <v>0</v>
      </c>
      <c r="D40" s="535">
        <f>D18*'2-Données générales'!D81/1000</f>
        <v>0</v>
      </c>
      <c r="E40" s="535">
        <f>E18*nagas_fac_E92/1000</f>
        <v>0</v>
      </c>
      <c r="F40" s="901"/>
      <c r="G40" s="535">
        <f>G18*heat_oil_fac_E94/1000</f>
        <v>0</v>
      </c>
      <c r="H40" s="899"/>
      <c r="I40" s="901"/>
      <c r="J40" s="537"/>
      <c r="K40" s="535">
        <f>K18*lign_fac_E97/1000</f>
        <v>0</v>
      </c>
      <c r="L40" s="535">
        <f>L18*coal_fac_E98/1000</f>
        <v>0</v>
      </c>
      <c r="M40" s="899"/>
      <c r="N40" s="537"/>
      <c r="O40" s="535">
        <f>O18*pl_oi_fac_E100/1000</f>
        <v>0</v>
      </c>
      <c r="P40" s="899"/>
      <c r="Q40" s="535">
        <f>Q18*other_biom_fac_E102/1000</f>
        <v>0</v>
      </c>
      <c r="R40" s="535">
        <f>R18*solar_fac_E103/1000</f>
        <v>0</v>
      </c>
      <c r="S40" s="535">
        <f>S18*'2-Données générales'!D96/1000</f>
        <v>0</v>
      </c>
      <c r="T40" s="535">
        <f>SUM(C40:S40)</f>
        <v>0</v>
      </c>
      <c r="U40" s="297"/>
      <c r="V40" s="297"/>
      <c r="W40" s="297"/>
      <c r="X40" s="297"/>
      <c r="Y40" s="297"/>
    </row>
    <row r="41" spans="1:25" ht="18.75">
      <c r="A41" s="894" t="s">
        <v>160</v>
      </c>
      <c r="B41" s="894"/>
      <c r="C41" s="538">
        <f>C19*elec_fac_E90/1000</f>
        <v>0</v>
      </c>
      <c r="D41" s="538">
        <f>D19*'2-Données générales'!D81/1000</f>
        <v>0</v>
      </c>
      <c r="E41" s="538">
        <f>E19*nagas_fac_E92/1000</f>
        <v>0</v>
      </c>
      <c r="F41" s="538">
        <f>F19*lpg_fac_E93/1000</f>
        <v>0.76912947527209941</v>
      </c>
      <c r="G41" s="538">
        <f>G19*heat_oil_fac_E94/1000</f>
        <v>0</v>
      </c>
      <c r="H41" s="538">
        <f>H19*diesel_fac_E95/1000</f>
        <v>9.8489773590893392</v>
      </c>
      <c r="I41" s="538">
        <f>I19*gasol_fac_E96/1000</f>
        <v>6.468329736558629</v>
      </c>
      <c r="J41" s="539"/>
      <c r="K41" s="538">
        <f>K19*lign_fac_E97/1000</f>
        <v>0</v>
      </c>
      <c r="L41" s="538">
        <f>L19*coal_fac_E98/1000</f>
        <v>0</v>
      </c>
      <c r="M41" s="538">
        <f>M19*other_ff_fac_E99/1000</f>
        <v>0</v>
      </c>
      <c r="N41" s="539"/>
      <c r="O41" s="538">
        <f>O19*pl_oi_fac_E100/1000</f>
        <v>0</v>
      </c>
      <c r="P41" s="538">
        <f>P19*bio_fac_E101/1000</f>
        <v>0</v>
      </c>
      <c r="Q41" s="538">
        <f>Q19*other_biom_fac_E102/1000</f>
        <v>0</v>
      </c>
      <c r="R41" s="538">
        <f>R19*solar_fac_E103/1000</f>
        <v>0</v>
      </c>
      <c r="S41" s="538">
        <f>S19*'2-Données générales'!D96/1000</f>
        <v>0</v>
      </c>
      <c r="T41" s="538">
        <f>SUM(C41:S41)</f>
        <v>17.086436570920068</v>
      </c>
      <c r="U41" s="297"/>
      <c r="V41" s="297"/>
      <c r="W41" s="297"/>
      <c r="X41" s="297"/>
      <c r="Y41" s="297"/>
    </row>
    <row r="42" spans="1:25">
      <c r="A42" s="870" t="s">
        <v>38</v>
      </c>
      <c r="B42" s="870"/>
      <c r="C42" s="540"/>
      <c r="D42" s="540"/>
      <c r="E42" s="540"/>
      <c r="F42" s="540"/>
      <c r="G42" s="540"/>
      <c r="H42" s="540"/>
      <c r="I42" s="540"/>
      <c r="J42" s="541"/>
      <c r="K42" s="540"/>
      <c r="L42" s="540"/>
      <c r="M42" s="540"/>
      <c r="N42" s="541"/>
      <c r="O42" s="540"/>
      <c r="P42" s="540"/>
      <c r="Q42" s="540"/>
      <c r="R42" s="540"/>
      <c r="S42" s="540"/>
      <c r="T42" s="540"/>
      <c r="U42" s="297"/>
      <c r="V42" s="297"/>
      <c r="W42" s="297"/>
      <c r="X42" s="297"/>
      <c r="Y42" s="297"/>
    </row>
    <row r="43" spans="1:25">
      <c r="A43" s="871" t="s">
        <v>156</v>
      </c>
      <c r="B43" s="871"/>
      <c r="C43" s="535">
        <f>C21*elec_fac_E90/1000</f>
        <v>0</v>
      </c>
      <c r="D43" s="535">
        <f>D21*'2-Données générales'!D81/1000</f>
        <v>0</v>
      </c>
      <c r="E43" s="535">
        <f>E21*nagas_fac_E92/1000</f>
        <v>0</v>
      </c>
      <c r="F43" s="535">
        <f>F21*lpg_fac_E93/1000</f>
        <v>0</v>
      </c>
      <c r="G43" s="535">
        <f>G21*heat_oil_fac_E94/1000</f>
        <v>0</v>
      </c>
      <c r="H43" s="535">
        <f>H21*diesel_fac_E95/1000</f>
        <v>0</v>
      </c>
      <c r="I43" s="535">
        <f>I21*gasol_fac_E96/1000</f>
        <v>0</v>
      </c>
      <c r="J43" s="537"/>
      <c r="K43" s="535">
        <f>K21*lign_fac_E97/1000</f>
        <v>0</v>
      </c>
      <c r="L43" s="535">
        <f>L21*coal_fac_E98/1000</f>
        <v>0</v>
      </c>
      <c r="M43" s="535">
        <f>M21*other_ff_fac_E99/1000</f>
        <v>0</v>
      </c>
      <c r="N43" s="537"/>
      <c r="O43" s="535">
        <f>O21*pl_oi_fac_E100/1000</f>
        <v>0</v>
      </c>
      <c r="P43" s="535">
        <f>P21*bio_fac_E101/1000</f>
        <v>0</v>
      </c>
      <c r="Q43" s="535">
        <f>Q21*other_biom_fac_E102/1000</f>
        <v>0</v>
      </c>
      <c r="R43" s="535">
        <f>R21*solar_fac_E103/1000</f>
        <v>0</v>
      </c>
      <c r="S43" s="535">
        <f>S21*'2-Données générales'!D96/1000</f>
        <v>0</v>
      </c>
      <c r="T43" s="535">
        <f>SUM(C43:S43)</f>
        <v>0</v>
      </c>
      <c r="U43" s="297"/>
      <c r="V43" s="297"/>
      <c r="W43" s="297"/>
      <c r="X43" s="297"/>
      <c r="Y43" s="297"/>
    </row>
    <row r="44" spans="1:25">
      <c r="A44" s="892" t="s">
        <v>376</v>
      </c>
      <c r="B44" s="892"/>
      <c r="C44" s="543"/>
      <c r="D44" s="543"/>
      <c r="E44" s="543"/>
      <c r="F44" s="543"/>
      <c r="G44" s="543"/>
      <c r="H44" s="543"/>
      <c r="I44" s="543"/>
      <c r="J44" s="544"/>
      <c r="K44" s="543"/>
      <c r="L44" s="543"/>
      <c r="M44" s="543"/>
      <c r="N44" s="544"/>
      <c r="O44" s="543"/>
      <c r="P44" s="543"/>
      <c r="Q44" s="543"/>
      <c r="R44" s="543"/>
      <c r="S44" s="543"/>
      <c r="T44" s="543">
        <f>SUM(C44:S44)</f>
        <v>0</v>
      </c>
      <c r="U44" s="297"/>
      <c r="V44" s="297"/>
      <c r="W44" s="297"/>
      <c r="X44" s="297"/>
      <c r="Y44" s="297"/>
    </row>
    <row r="45" spans="1:25" s="17" customFormat="1">
      <c r="A45" s="875" t="s">
        <v>161</v>
      </c>
      <c r="B45" s="876"/>
      <c r="C45" s="553"/>
      <c r="D45" s="553"/>
      <c r="E45" s="553"/>
      <c r="F45" s="553"/>
      <c r="G45" s="553"/>
      <c r="H45" s="553"/>
      <c r="I45" s="553"/>
      <c r="J45" s="554"/>
      <c r="K45" s="553"/>
      <c r="L45" s="553"/>
      <c r="M45" s="553"/>
      <c r="N45" s="554"/>
      <c r="O45" s="553"/>
      <c r="P45" s="553"/>
      <c r="Q45" s="553"/>
      <c r="R45" s="553"/>
      <c r="S45" s="553"/>
      <c r="T45" s="535"/>
      <c r="U45" s="297"/>
      <c r="V45" s="297"/>
      <c r="W45" s="297"/>
      <c r="X45" s="297"/>
      <c r="Y45" s="297"/>
    </row>
    <row r="46" spans="1:25" s="42" customFormat="1" ht="30">
      <c r="A46" s="555" t="s">
        <v>162</v>
      </c>
      <c r="B46" s="556"/>
      <c r="C46" s="554"/>
      <c r="D46" s="554"/>
      <c r="E46" s="554"/>
      <c r="F46" s="554"/>
      <c r="G46" s="554"/>
      <c r="H46" s="554"/>
      <c r="I46" s="554"/>
      <c r="J46" s="554"/>
      <c r="K46" s="554"/>
      <c r="L46" s="554"/>
      <c r="M46" s="554"/>
      <c r="N46" s="554"/>
      <c r="O46" s="554"/>
      <c r="P46" s="554"/>
      <c r="Q46" s="554"/>
      <c r="R46" s="554"/>
      <c r="S46" s="554"/>
      <c r="T46" s="537">
        <f>'6-Traitement des eaux usées'!C18</f>
        <v>21.637500000000003</v>
      </c>
      <c r="U46" s="297"/>
      <c r="V46" s="297"/>
      <c r="W46" s="297"/>
      <c r="X46" s="297"/>
      <c r="Y46" s="297"/>
    </row>
    <row r="47" spans="1:25" ht="18.75">
      <c r="A47" s="872" t="s">
        <v>14</v>
      </c>
      <c r="B47" s="872"/>
      <c r="C47" s="538">
        <f>C36+C41+C43+C44</f>
        <v>5928.9565466338572</v>
      </c>
      <c r="D47" s="538">
        <f>D36+D41+D43+D44</f>
        <v>0</v>
      </c>
      <c r="E47" s="538">
        <f t="shared" ref="E47:S47" si="5">E36+E41+E43+E44</f>
        <v>0</v>
      </c>
      <c r="F47" s="538">
        <f t="shared" si="5"/>
        <v>438.46540045356437</v>
      </c>
      <c r="G47" s="538">
        <f t="shared" si="5"/>
        <v>0</v>
      </c>
      <c r="H47" s="538">
        <f t="shared" si="5"/>
        <v>9.8489773590893392</v>
      </c>
      <c r="I47" s="538">
        <f t="shared" si="5"/>
        <v>6.468329736558629</v>
      </c>
      <c r="J47" s="538">
        <f>J36+J41+J43+J44</f>
        <v>0</v>
      </c>
      <c r="K47" s="538">
        <f t="shared" si="5"/>
        <v>0</v>
      </c>
      <c r="L47" s="538">
        <f t="shared" si="5"/>
        <v>0</v>
      </c>
      <c r="M47" s="538">
        <f t="shared" si="5"/>
        <v>122.34482025936394</v>
      </c>
      <c r="N47" s="538">
        <f t="shared" si="5"/>
        <v>6.3658678062672003</v>
      </c>
      <c r="O47" s="538">
        <f t="shared" si="5"/>
        <v>0</v>
      </c>
      <c r="P47" s="538">
        <f t="shared" si="5"/>
        <v>0</v>
      </c>
      <c r="Q47" s="538">
        <f t="shared" si="5"/>
        <v>0</v>
      </c>
      <c r="R47" s="538">
        <f t="shared" si="5"/>
        <v>0</v>
      </c>
      <c r="S47" s="538">
        <f t="shared" si="5"/>
        <v>0</v>
      </c>
      <c r="T47" s="538">
        <f>SUM(T36,T41,T43:T46)</f>
        <v>6534.0874422487004</v>
      </c>
      <c r="U47" s="297"/>
      <c r="V47" s="297"/>
      <c r="W47" s="297"/>
      <c r="X47" s="297"/>
      <c r="Y47" s="297"/>
    </row>
    <row r="48" spans="1:25">
      <c r="A48" s="297"/>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row>
    <row r="49" spans="1:25">
      <c r="A49" s="297"/>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row>
    <row r="50" spans="1:25">
      <c r="A50" s="297"/>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row>
    <row r="51" spans="1:25">
      <c r="A51" s="299"/>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row>
    <row r="52" spans="1:25">
      <c r="A52" s="299"/>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row>
    <row r="53" spans="1:25">
      <c r="A53" s="299"/>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row>
    <row r="54" spans="1:25">
      <c r="A54" s="299"/>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row>
  </sheetData>
  <sheetProtection password="CC6F" sheet="1" objects="1" scenarios="1"/>
  <mergeCells count="57">
    <mergeCell ref="F17:F18"/>
    <mergeCell ref="H17:H18"/>
    <mergeCell ref="P17:P18"/>
    <mergeCell ref="I17:I18"/>
    <mergeCell ref="F39:F40"/>
    <mergeCell ref="H39:H40"/>
    <mergeCell ref="I39:I40"/>
    <mergeCell ref="M39:M40"/>
    <mergeCell ref="P39:P40"/>
    <mergeCell ref="A23:B23"/>
    <mergeCell ref="A16:B16"/>
    <mergeCell ref="A38:B38"/>
    <mergeCell ref="A15:B15"/>
    <mergeCell ref="A22:B22"/>
    <mergeCell ref="A13:B13"/>
    <mergeCell ref="A35:B35"/>
    <mergeCell ref="A44:B44"/>
    <mergeCell ref="A17:B17"/>
    <mergeCell ref="A18:B18"/>
    <mergeCell ref="A27:B29"/>
    <mergeCell ref="A30:B30"/>
    <mergeCell ref="A31:B31"/>
    <mergeCell ref="A32:B32"/>
    <mergeCell ref="A33:B33"/>
    <mergeCell ref="A41:B41"/>
    <mergeCell ref="A19:B19"/>
    <mergeCell ref="A20:B20"/>
    <mergeCell ref="A21:B21"/>
    <mergeCell ref="A34:B34"/>
    <mergeCell ref="A14:B14"/>
    <mergeCell ref="C5:T5"/>
    <mergeCell ref="C6:C7"/>
    <mergeCell ref="D6:D7"/>
    <mergeCell ref="O6:S6"/>
    <mergeCell ref="T6:T7"/>
    <mergeCell ref="E6:M6"/>
    <mergeCell ref="A11:B11"/>
    <mergeCell ref="A5:B7"/>
    <mergeCell ref="A8:B8"/>
    <mergeCell ref="A9:B9"/>
    <mergeCell ref="A10:B10"/>
    <mergeCell ref="A12:B12"/>
    <mergeCell ref="A1:Y1"/>
    <mergeCell ref="A42:B42"/>
    <mergeCell ref="A43:B43"/>
    <mergeCell ref="A47:B47"/>
    <mergeCell ref="A36:B36"/>
    <mergeCell ref="A37:B37"/>
    <mergeCell ref="A39:B39"/>
    <mergeCell ref="A40:B40"/>
    <mergeCell ref="A45:B45"/>
    <mergeCell ref="C27:T27"/>
    <mergeCell ref="C28:C29"/>
    <mergeCell ref="D28:D29"/>
    <mergeCell ref="E28:M28"/>
    <mergeCell ref="O28:S28"/>
    <mergeCell ref="T28:T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49</vt:i4>
      </vt:variant>
    </vt:vector>
  </HeadingPairs>
  <TitlesOfParts>
    <vt:vector size="56" baseType="lpstr">
      <vt:lpstr>1-Introduction</vt:lpstr>
      <vt:lpstr>2-Données générales</vt:lpstr>
      <vt:lpstr>3-Commune</vt:lpstr>
      <vt:lpstr>4-Secteur privé</vt:lpstr>
      <vt:lpstr>5-Transport</vt:lpstr>
      <vt:lpstr>6-Traitement des eaux usées</vt:lpstr>
      <vt:lpstr>7-IRE</vt:lpstr>
      <vt:lpstr>BaselineYear</vt:lpstr>
      <vt:lpstr>bio_fac_E101</vt:lpstr>
      <vt:lpstr>Coal_conv_C51</vt:lpstr>
      <vt:lpstr>Coal_convC51</vt:lpstr>
      <vt:lpstr>coal_fac_E98</vt:lpstr>
      <vt:lpstr>Diesel_conv_C48</vt:lpstr>
      <vt:lpstr>diesel_fac_E95</vt:lpstr>
      <vt:lpstr>Diesel_Munfleet_D14</vt:lpstr>
      <vt:lpstr>Diesel_Wastetransp_D15</vt:lpstr>
      <vt:lpstr>elec_fac_E90</vt:lpstr>
      <vt:lpstr>gasol_fac_E96</vt:lpstr>
      <vt:lpstr>Gasoline_conv_C49</vt:lpstr>
      <vt:lpstr>Gasoline_convC49</vt:lpstr>
      <vt:lpstr>Gasoline_Munfleet_D18</vt:lpstr>
      <vt:lpstr>Gasoline_WasteTransp_D19</vt:lpstr>
      <vt:lpstr>heat_oil_fac_E94</vt:lpstr>
      <vt:lpstr>Ind_Diesel_H13</vt:lpstr>
      <vt:lpstr>Ind_Elec_H11</vt:lpstr>
      <vt:lpstr>Ind_gasol_H14</vt:lpstr>
      <vt:lpstr>Ind_LPG_H12</vt:lpstr>
      <vt:lpstr>Ind_solar_H15</vt:lpstr>
      <vt:lpstr>lign_fac_E97</vt:lpstr>
      <vt:lpstr>LPG_conv_C50</vt:lpstr>
      <vt:lpstr>LPG_convC50</vt:lpstr>
      <vt:lpstr>lpg_fac_E93</vt:lpstr>
      <vt:lpstr>mun_population_E22</vt:lpstr>
      <vt:lpstr>nagas_fac_E92</vt:lpstr>
      <vt:lpstr>nagas_facE92</vt:lpstr>
      <vt:lpstr>other_biom_fac_E102</vt:lpstr>
      <vt:lpstr>other_ff_fac_E99</vt:lpstr>
      <vt:lpstr>pl_oi_fac_E100</vt:lpstr>
      <vt:lpstr>Resid_Diesel_D13</vt:lpstr>
      <vt:lpstr>Resid_Elec_D11</vt:lpstr>
      <vt:lpstr>Resid_Gasol_D14</vt:lpstr>
      <vt:lpstr>Resid_LPG_D12</vt:lpstr>
      <vt:lpstr>Resid_Solar_D15</vt:lpstr>
      <vt:lpstr>solar_fac_E103</vt:lpstr>
      <vt:lpstr>Tert_DieselF13</vt:lpstr>
      <vt:lpstr>Tert_Elec_F11</vt:lpstr>
      <vt:lpstr>Tert_Solar_F15</vt:lpstr>
      <vt:lpstr>Total_Diesel_M13</vt:lpstr>
      <vt:lpstr>Total_Gasol_M14</vt:lpstr>
      <vt:lpstr>Total_LPG_M12</vt:lpstr>
      <vt:lpstr>Transp_Diesel_L13</vt:lpstr>
      <vt:lpstr>Transp_Gasol_L14</vt:lpstr>
      <vt:lpstr>'2-Données générales'!Transport_GPL</vt:lpstr>
      <vt:lpstr>Tun_pop</vt:lpstr>
      <vt:lpstr>Tunisia_population_E24</vt:lpstr>
      <vt:lpstr>Wood_conv_C52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Papadopoulou</dc:creator>
  <cp:lastModifiedBy>jihenebt</cp:lastModifiedBy>
  <dcterms:created xsi:type="dcterms:W3CDTF">2017-07-26T08:06:42Z</dcterms:created>
  <dcterms:modified xsi:type="dcterms:W3CDTF">2021-09-24T13:10:59Z</dcterms:modified>
</cp:coreProperties>
</file>